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inetpub\wwwroot\MKCoop\UploadedFiles\"/>
    </mc:Choice>
  </mc:AlternateContent>
  <bookViews>
    <workbookView xWindow="6708" yWindow="0" windowWidth="5556" windowHeight="1176" tabRatio="796" firstSheet="1" activeTab="6"/>
  </bookViews>
  <sheets>
    <sheet name="TMA Harvest Long and Short" sheetId="1" r:id="rId1"/>
    <sheet name="Greenleaf Harvest Long &amp; Short" sheetId="2" r:id="rId2"/>
    <sheet name="tma fall LS 2002" sheetId="3" r:id="rId3"/>
    <sheet name="Open Fax Sheet, Long &amp; Short" sheetId="4" r:id="rId4"/>
    <sheet name="UPDATE" sheetId="5" r:id="rId5"/>
    <sheet name="Long and Short" sheetId="6" r:id="rId6"/>
    <sheet name="LongShortPivot" sheetId="11" r:id="rId7"/>
    <sheet name="XRef" sheetId="10" state="hidden" r:id="rId8"/>
    <sheet name="BranchXRef" sheetId="7" r:id="rId9"/>
    <sheet name="AGTRAXDATA" sheetId="8" r:id="rId10"/>
    <sheet name="SALESCONTRACTS" sheetId="9" r:id="rId11"/>
  </sheets>
  <definedNames>
    <definedName name="position" localSheetId="9">AGTRAXDATA!$A$1:$D$4160</definedName>
    <definedName name="Query_from_moundridge" localSheetId="10">SALESCONTRACTS!$A$1:$D$566</definedName>
    <definedName name="Z_007B44AF_685B_4B37_9750_B07A99A25CF6_.wvu.PrintArea" localSheetId="1" hidden="1">'Greenleaf Harvest Long &amp; Short'!$A$1:$G$51</definedName>
    <definedName name="Z_007B44AF_685B_4B37_9750_B07A99A25CF6_.wvu.PrintArea" localSheetId="5" hidden="1">'Long and Short'!$2:$64</definedName>
    <definedName name="Z_007B44AF_685B_4B37_9750_B07A99A25CF6_.wvu.PrintTitles" localSheetId="5" hidden="1">'Long and Short'!$A:$A</definedName>
    <definedName name="Z_32FA922B_D311_4A17_9E95_50C57C186216_.wvu.PrintArea" localSheetId="1" hidden="1">'Greenleaf Harvest Long &amp; Short'!$A$1:$G$51</definedName>
    <definedName name="Z_32FA922B_D311_4A17_9E95_50C57C186216_.wvu.PrintArea" localSheetId="5" hidden="1">'Long and Short'!$2:$64</definedName>
    <definedName name="Z_32FA922B_D311_4A17_9E95_50C57C186216_.wvu.PrintTitles" localSheetId="5" hidden="1">'Long and Short'!$A:$A</definedName>
    <definedName name="Z_AD1DD6D4_9126_4937_AE78_38B0663E3739_.wvu.PrintArea" localSheetId="1" hidden="1">'Greenleaf Harvest Long &amp; Short'!$A$1:$G$51</definedName>
    <definedName name="Z_AD1DD6D4_9126_4937_AE78_38B0663E3739_.wvu.PrintArea" localSheetId="5" hidden="1">'Long and Short'!$2:$64</definedName>
    <definedName name="Z_AD1DD6D4_9126_4937_AE78_38B0663E3739_.wvu.PrintTitles" localSheetId="5" hidden="1">'Long and Short'!$A:$A</definedName>
  </definedNames>
  <calcPr calcId="171027"/>
  <customWorkbookViews>
    <customWorkbookView name="Ted Schultz - Personal View" guid="{787CEAB0-B665-4DDC-B6D5-0EF4B4179B2C}" mergeInterval="0" personalView="1" maximized="1" xWindow="-8" yWindow="-8" windowWidth="1696" windowHeight="1026" tabRatio="796" activeSheetId="6"/>
    <customWorkbookView name="Todd Schultz - Personal View" guid="{32FA922B-D311-4A17-9E95-50C57C186216}" mergeInterval="0" personalView="1" maximized="1" xWindow="-8" yWindow="-8" windowWidth="1936" windowHeight="1056" tabRatio="796" activeSheetId="6"/>
    <customWorkbookView name="Taylor Martin - Personal View" guid="{AD1DD6D4-9126-4937-AE78-38B0663E3739}" mergeInterval="0" personalView="1" maximized="1" xWindow="-8" yWindow="-8" windowWidth="1936" windowHeight="1056" tabRatio="796" activeSheetId="6"/>
    <customWorkbookView name="Dustin Beck - Personal View" guid="{007B44AF-685B-4B37-9750-B07A99A25CF6}" mergeInterval="0" personalView="1" maximized="1" xWindow="-8" yWindow="-8" windowWidth="1936" windowHeight="1056" tabRatio="627" activeSheetId="6"/>
    <customWorkbookView name="Lance Adams - Personal View" guid="{AA02AC12-6E1B-4019-BD01-AFF4D21A6ABD}" mergeInterval="0" personalView="1" maximized="1" xWindow="1912" yWindow="-8" windowWidth="1936" windowHeight="1014" tabRatio="796" activeSheetId="6"/>
    <customWorkbookView name="John Woodworth - Personal View" guid="{B148F6D0-D380-41BC-8CCF-9098DBC3211F}" mergeInterval="0" personalView="1" maximized="1" xWindow="-8" yWindow="-8" windowWidth="1616" windowHeight="876" tabRatio="796" activeSheetId="6"/>
    <customWorkbookView name="Mandie Lyons - Personal View" guid="{A6685E51-6E0B-411A-8D94-6874F1684A20}" mergeInterval="0" personalView="1" maximized="1" xWindow="2391" yWindow="-9" windowWidth="2418" windowHeight="1308" tabRatio="796" activeSheetId="11"/>
  </customWorkbookViews>
  <pivotCaches>
    <pivotCache cacheId="8" r:id="rId12"/>
    <pivotCache cacheId="9" r:id="rId13"/>
  </pivotCaches>
</workbook>
</file>

<file path=xl/calcChain.xml><?xml version="1.0" encoding="utf-8"?>
<calcChain xmlns="http://schemas.openxmlformats.org/spreadsheetml/2006/main">
  <c r="AX2" i="11" l="1"/>
  <c r="AX3" i="11" l="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BJ78" i="11"/>
  <c r="BI78" i="11"/>
  <c r="BH78" i="11"/>
  <c r="BG78" i="11"/>
  <c r="BF78" i="11"/>
  <c r="BC78" i="11"/>
  <c r="BB78" i="11"/>
  <c r="BA78" i="11"/>
  <c r="AZ78" i="11"/>
  <c r="AW78" i="11"/>
  <c r="AV78" i="11"/>
  <c r="AU78" i="11"/>
  <c r="AT78" i="11"/>
  <c r="AS78" i="11"/>
  <c r="AR78" i="11"/>
  <c r="AQ78" i="11"/>
  <c r="AM78" i="11"/>
  <c r="AL78" i="11"/>
  <c r="AJ78" i="11"/>
  <c r="AI78" i="11"/>
  <c r="AH78" i="11"/>
  <c r="AG78" i="11"/>
  <c r="AB78" i="11"/>
  <c r="AA78" i="11"/>
  <c r="Z78" i="11"/>
  <c r="V78" i="11"/>
  <c r="U78" i="11"/>
  <c r="T78" i="11"/>
  <c r="S78" i="11"/>
  <c r="R78" i="11"/>
  <c r="Q78" i="11"/>
  <c r="H78" i="11"/>
  <c r="J77" i="11"/>
  <c r="M77" i="11"/>
  <c r="D75" i="11"/>
  <c r="N73" i="11"/>
  <c r="G73" i="11"/>
  <c r="C73" i="11"/>
  <c r="P72" i="11"/>
  <c r="E72" i="11"/>
  <c r="N71" i="11"/>
  <c r="G71" i="11"/>
  <c r="C71" i="11"/>
  <c r="P70" i="11"/>
  <c r="L70" i="11"/>
  <c r="E70" i="11"/>
  <c r="N69" i="11"/>
  <c r="G69" i="11"/>
  <c r="C69" i="11"/>
  <c r="P68" i="11"/>
  <c r="L68" i="11"/>
  <c r="E68" i="11"/>
  <c r="N67" i="11"/>
  <c r="G67" i="11"/>
  <c r="C67" i="11"/>
  <c r="P66" i="11"/>
  <c r="L66" i="11"/>
  <c r="E66" i="11"/>
  <c r="N65" i="11"/>
  <c r="G65" i="11"/>
  <c r="C65" i="11"/>
  <c r="P64" i="11"/>
  <c r="L64" i="11"/>
  <c r="E64" i="11"/>
  <c r="N63" i="11"/>
  <c r="G63" i="11"/>
  <c r="C63" i="11"/>
  <c r="P62" i="11"/>
  <c r="L62" i="11"/>
  <c r="E62" i="11"/>
  <c r="N61" i="11"/>
  <c r="G61" i="11"/>
  <c r="C61" i="11"/>
  <c r="P60" i="11"/>
  <c r="L60" i="11"/>
  <c r="P77" i="11"/>
  <c r="L77" i="11"/>
  <c r="G75" i="11"/>
  <c r="C75" i="11"/>
  <c r="F73" i="11"/>
  <c r="O72" i="11"/>
  <c r="D72" i="11"/>
  <c r="M71" i="11"/>
  <c r="F71" i="11"/>
  <c r="O70" i="11"/>
  <c r="D70" i="11"/>
  <c r="M69" i="11"/>
  <c r="F69" i="11"/>
  <c r="O68" i="11"/>
  <c r="D68" i="11"/>
  <c r="M67" i="11"/>
  <c r="F67" i="11"/>
  <c r="O66" i="11"/>
  <c r="D66" i="11"/>
  <c r="M65" i="11"/>
  <c r="F65" i="11"/>
  <c r="O64" i="11"/>
  <c r="D64" i="11"/>
  <c r="M63" i="11"/>
  <c r="F63" i="11"/>
  <c r="O62" i="11"/>
  <c r="D62" i="11"/>
  <c r="M61" i="11"/>
  <c r="F61" i="11"/>
  <c r="O60" i="11"/>
  <c r="D60" i="11"/>
  <c r="M59" i="11"/>
  <c r="F59" i="11"/>
  <c r="O58" i="11"/>
  <c r="D58" i="11"/>
  <c r="M57" i="11"/>
  <c r="F57" i="11"/>
  <c r="O56" i="11"/>
  <c r="D56" i="11"/>
  <c r="C76" i="11"/>
  <c r="O73" i="11"/>
  <c r="D73" i="11"/>
  <c r="F72" i="11"/>
  <c r="M70" i="11"/>
  <c r="O69" i="11"/>
  <c r="D69" i="11"/>
  <c r="F68" i="11"/>
  <c r="M66" i="11"/>
  <c r="O65" i="11"/>
  <c r="D65" i="11"/>
  <c r="F64" i="11"/>
  <c r="M62" i="11"/>
  <c r="O61" i="11"/>
  <c r="D61" i="11"/>
  <c r="F60" i="11"/>
  <c r="P59" i="11"/>
  <c r="C59" i="11"/>
  <c r="M58" i="11"/>
  <c r="E58" i="11"/>
  <c r="O57" i="11"/>
  <c r="G57" i="11"/>
  <c r="L56" i="11"/>
  <c r="C56" i="11"/>
  <c r="N55" i="11"/>
  <c r="G55" i="11"/>
  <c r="C55" i="11"/>
  <c r="P54" i="11"/>
  <c r="L54" i="11"/>
  <c r="E54" i="11"/>
  <c r="N53" i="11"/>
  <c r="G53" i="11"/>
  <c r="C53" i="11"/>
  <c r="P52" i="11"/>
  <c r="L52" i="11"/>
  <c r="E52" i="11"/>
  <c r="N51" i="11"/>
  <c r="G51" i="11"/>
  <c r="C51" i="11"/>
  <c r="P50" i="11"/>
  <c r="L50" i="11"/>
  <c r="E50" i="11"/>
  <c r="N49" i="11"/>
  <c r="G49" i="11"/>
  <c r="C49" i="11"/>
  <c r="P48" i="11"/>
  <c r="L48" i="11"/>
  <c r="E48" i="11"/>
  <c r="N47" i="11"/>
  <c r="G47" i="11"/>
  <c r="C47" i="11"/>
  <c r="P46" i="11"/>
  <c r="L46" i="11"/>
  <c r="E46" i="11"/>
  <c r="N45" i="11"/>
  <c r="G45" i="11"/>
  <c r="C45" i="11"/>
  <c r="O77" i="11"/>
  <c r="F75" i="11"/>
  <c r="N72" i="11"/>
  <c r="C72" i="11"/>
  <c r="P71" i="11"/>
  <c r="E71" i="11"/>
  <c r="G70" i="11"/>
  <c r="L69" i="11"/>
  <c r="N68" i="11"/>
  <c r="C68" i="11"/>
  <c r="P67" i="11"/>
  <c r="E67" i="11"/>
  <c r="G66" i="11"/>
  <c r="L65" i="11"/>
  <c r="N64" i="11"/>
  <c r="C64" i="11"/>
  <c r="P63" i="11"/>
  <c r="E63" i="11"/>
  <c r="G62" i="11"/>
  <c r="L61" i="11"/>
  <c r="N60" i="11"/>
  <c r="E60" i="11"/>
  <c r="O59" i="11"/>
  <c r="G59" i="11"/>
  <c r="L58" i="11"/>
  <c r="C58" i="11"/>
  <c r="N57" i="11"/>
  <c r="E57" i="11"/>
  <c r="P56" i="11"/>
  <c r="G56" i="11"/>
  <c r="M55" i="11"/>
  <c r="F55" i="11"/>
  <c r="O54" i="11"/>
  <c r="D54" i="11"/>
  <c r="M53" i="11"/>
  <c r="F53" i="11"/>
  <c r="O52" i="11"/>
  <c r="D52" i="11"/>
  <c r="M51" i="11"/>
  <c r="F51" i="11"/>
  <c r="O50" i="11"/>
  <c r="D50" i="11"/>
  <c r="M49" i="11"/>
  <c r="F49" i="11"/>
  <c r="O48" i="11"/>
  <c r="D48" i="11"/>
  <c r="M47" i="11"/>
  <c r="F47" i="11"/>
  <c r="O46" i="11"/>
  <c r="D46" i="11"/>
  <c r="M45" i="11"/>
  <c r="F45" i="11"/>
  <c r="N77" i="11"/>
  <c r="O71" i="11"/>
  <c r="D67" i="11"/>
  <c r="F66" i="11"/>
  <c r="M64" i="11"/>
  <c r="O63" i="11"/>
  <c r="C60" i="11"/>
  <c r="N59" i="11"/>
  <c r="G58" i="11"/>
  <c r="D57" i="11"/>
  <c r="N56" i="11"/>
  <c r="L55" i="11"/>
  <c r="N54" i="11"/>
  <c r="C54" i="11"/>
  <c r="P53" i="11"/>
  <c r="E53" i="11"/>
  <c r="G52" i="11"/>
  <c r="L51" i="11"/>
  <c r="N50" i="11"/>
  <c r="C50" i="11"/>
  <c r="P49" i="11"/>
  <c r="E49" i="11"/>
  <c r="G48" i="11"/>
  <c r="L47" i="11"/>
  <c r="N46" i="11"/>
  <c r="C46" i="11"/>
  <c r="P45" i="11"/>
  <c r="E45" i="11"/>
  <c r="M44" i="11"/>
  <c r="F44" i="11"/>
  <c r="O43" i="11"/>
  <c r="D43" i="11"/>
  <c r="M42" i="11"/>
  <c r="F42" i="11"/>
  <c r="O41" i="11"/>
  <c r="D41" i="11"/>
  <c r="M40" i="11"/>
  <c r="F40" i="11"/>
  <c r="O39" i="11"/>
  <c r="D39" i="11"/>
  <c r="M38" i="11"/>
  <c r="F38" i="11"/>
  <c r="O37" i="11"/>
  <c r="D37" i="11"/>
  <c r="M36" i="11"/>
  <c r="F36" i="11"/>
  <c r="G35" i="11"/>
  <c r="C35" i="11"/>
  <c r="D34" i="11"/>
  <c r="M33" i="11"/>
  <c r="F33" i="11"/>
  <c r="C74" i="11"/>
  <c r="E73" i="11"/>
  <c r="G72" i="11"/>
  <c r="N70" i="11"/>
  <c r="P69" i="11"/>
  <c r="C66" i="11"/>
  <c r="E65" i="11"/>
  <c r="G64" i="11"/>
  <c r="L63" i="11"/>
  <c r="N62" i="11"/>
  <c r="P61" i="11"/>
  <c r="L59" i="11"/>
  <c r="F58" i="11"/>
  <c r="P57" i="11"/>
  <c r="C57" i="11"/>
  <c r="M56" i="11"/>
  <c r="M54" i="11"/>
  <c r="O53" i="11"/>
  <c r="D53" i="11"/>
  <c r="F52" i="11"/>
  <c r="M50" i="11"/>
  <c r="O49" i="11"/>
  <c r="D49" i="11"/>
  <c r="F48" i="11"/>
  <c r="M46" i="11"/>
  <c r="O45" i="11"/>
  <c r="D45" i="11"/>
  <c r="P44" i="11"/>
  <c r="L44" i="11"/>
  <c r="E44" i="11"/>
  <c r="N43" i="11"/>
  <c r="G43" i="11"/>
  <c r="C43" i="11"/>
  <c r="P42" i="11"/>
  <c r="L42" i="11"/>
  <c r="E42" i="11"/>
  <c r="N41" i="11"/>
  <c r="G41" i="11"/>
  <c r="C41" i="11"/>
  <c r="P40" i="11"/>
  <c r="L40" i="11"/>
  <c r="E40" i="11"/>
  <c r="N39" i="11"/>
  <c r="G39" i="11"/>
  <c r="C39" i="11"/>
  <c r="P38" i="11"/>
  <c r="L38" i="11"/>
  <c r="E38" i="11"/>
  <c r="N37" i="11"/>
  <c r="G37" i="11"/>
  <c r="C37" i="11"/>
  <c r="L36" i="11"/>
  <c r="E36" i="11"/>
  <c r="F35" i="11"/>
  <c r="N34" i="11"/>
  <c r="F70" i="11"/>
  <c r="M68" i="11"/>
  <c r="D63" i="11"/>
  <c r="P58" i="11"/>
  <c r="L57" i="11"/>
  <c r="F56" i="11"/>
  <c r="E55" i="11"/>
  <c r="G54" i="11"/>
  <c r="L53" i="11"/>
  <c r="N52" i="11"/>
  <c r="P51" i="11"/>
  <c r="C48" i="11"/>
  <c r="E47" i="11"/>
  <c r="G46" i="11"/>
  <c r="L45" i="11"/>
  <c r="M43" i="11"/>
  <c r="O42" i="11"/>
  <c r="D42" i="11"/>
  <c r="F41" i="11"/>
  <c r="M39" i="11"/>
  <c r="O38" i="11"/>
  <c r="D38" i="11"/>
  <c r="F37" i="11"/>
  <c r="E35" i="11"/>
  <c r="G34" i="11"/>
  <c r="L33" i="11"/>
  <c r="D33" i="11"/>
  <c r="P32" i="11"/>
  <c r="L32" i="11"/>
  <c r="E32" i="11"/>
  <c r="N31" i="11"/>
  <c r="G31" i="11"/>
  <c r="C31" i="11"/>
  <c r="P30" i="11"/>
  <c r="L30" i="11"/>
  <c r="E30" i="11"/>
  <c r="N29" i="11"/>
  <c r="G29" i="11"/>
  <c r="C29" i="11"/>
  <c r="P28" i="11"/>
  <c r="L28" i="11"/>
  <c r="E28" i="11"/>
  <c r="N27" i="11"/>
  <c r="G27" i="11"/>
  <c r="C27" i="11"/>
  <c r="P26" i="11"/>
  <c r="L26" i="11"/>
  <c r="E26" i="11"/>
  <c r="N25" i="11"/>
  <c r="G25" i="11"/>
  <c r="C25" i="11"/>
  <c r="P24" i="11"/>
  <c r="L24" i="11"/>
  <c r="E24" i="11"/>
  <c r="N23" i="11"/>
  <c r="G23" i="11"/>
  <c r="C23" i="11"/>
  <c r="P22" i="11"/>
  <c r="L22" i="11"/>
  <c r="E22" i="11"/>
  <c r="N21" i="11"/>
  <c r="G21" i="11"/>
  <c r="C21" i="11"/>
  <c r="P20" i="11"/>
  <c r="L20" i="11"/>
  <c r="E20" i="11"/>
  <c r="N19" i="11"/>
  <c r="G19" i="11"/>
  <c r="C19" i="11"/>
  <c r="P18" i="11"/>
  <c r="L18" i="11"/>
  <c r="E18" i="11"/>
  <c r="N17" i="11"/>
  <c r="G17" i="11"/>
  <c r="C17" i="11"/>
  <c r="P16" i="11"/>
  <c r="L16" i="11"/>
  <c r="E16" i="11"/>
  <c r="N15" i="11"/>
  <c r="G15" i="11"/>
  <c r="C15" i="11"/>
  <c r="P14" i="11"/>
  <c r="L14" i="11"/>
  <c r="E14" i="11"/>
  <c r="N13" i="11"/>
  <c r="G13" i="11"/>
  <c r="C13" i="11"/>
  <c r="D12" i="11"/>
  <c r="M11" i="11"/>
  <c r="F11" i="11"/>
  <c r="O10" i="11"/>
  <c r="D10" i="11"/>
  <c r="M9" i="11"/>
  <c r="F9" i="11"/>
  <c r="O8" i="11"/>
  <c r="D8" i="11"/>
  <c r="M7" i="11"/>
  <c r="F7" i="11"/>
  <c r="O6" i="11"/>
  <c r="D6" i="11"/>
  <c r="M5" i="11"/>
  <c r="F5" i="11"/>
  <c r="O4" i="11"/>
  <c r="D4" i="11"/>
  <c r="M3" i="11"/>
  <c r="F3" i="11"/>
  <c r="O2" i="11"/>
  <c r="D2" i="11"/>
  <c r="M13" i="11"/>
  <c r="G12" i="11"/>
  <c r="L11" i="11"/>
  <c r="G10" i="11"/>
  <c r="L9" i="11"/>
  <c r="G8" i="11"/>
  <c r="L7" i="11"/>
  <c r="G6" i="11"/>
  <c r="P73" i="11"/>
  <c r="C70" i="11"/>
  <c r="G68" i="11"/>
  <c r="N66" i="11"/>
  <c r="E61" i="11"/>
  <c r="N58" i="11"/>
  <c r="E56" i="11"/>
  <c r="D55" i="11"/>
  <c r="F54" i="11"/>
  <c r="M52" i="11"/>
  <c r="O51" i="11"/>
  <c r="D47" i="11"/>
  <c r="F46" i="11"/>
  <c r="G44" i="11"/>
  <c r="L43" i="11"/>
  <c r="N42" i="11"/>
  <c r="C42" i="11"/>
  <c r="P41" i="11"/>
  <c r="E41" i="11"/>
  <c r="G40" i="11"/>
  <c r="L39" i="11"/>
  <c r="N38" i="11"/>
  <c r="C38" i="11"/>
  <c r="P37" i="11"/>
  <c r="E37" i="11"/>
  <c r="G36" i="11"/>
  <c r="D35" i="11"/>
  <c r="F34" i="11"/>
  <c r="P33" i="11"/>
  <c r="C33" i="11"/>
  <c r="O32" i="11"/>
  <c r="D32" i="11"/>
  <c r="M31" i="11"/>
  <c r="F31" i="11"/>
  <c r="O30" i="11"/>
  <c r="D30" i="11"/>
  <c r="M29" i="11"/>
  <c r="F29" i="11"/>
  <c r="O28" i="11"/>
  <c r="D28" i="11"/>
  <c r="M27" i="11"/>
  <c r="F27" i="11"/>
  <c r="O26" i="11"/>
  <c r="D26" i="11"/>
  <c r="M25" i="11"/>
  <c r="F25" i="11"/>
  <c r="O24" i="11"/>
  <c r="D24" i="11"/>
  <c r="M23" i="11"/>
  <c r="F23" i="11"/>
  <c r="O22" i="11"/>
  <c r="D22" i="11"/>
  <c r="M21" i="11"/>
  <c r="F21" i="11"/>
  <c r="O20" i="11"/>
  <c r="D20" i="11"/>
  <c r="M19" i="11"/>
  <c r="F19" i="11"/>
  <c r="O18" i="11"/>
  <c r="D18" i="11"/>
  <c r="M17" i="11"/>
  <c r="F17" i="11"/>
  <c r="O16" i="11"/>
  <c r="D16" i="11"/>
  <c r="M15" i="11"/>
  <c r="F15" i="11"/>
  <c r="O14" i="11"/>
  <c r="D14" i="11"/>
  <c r="F13" i="11"/>
  <c r="C12" i="11"/>
  <c r="P11" i="11"/>
  <c r="E11" i="11"/>
  <c r="N10" i="11"/>
  <c r="C10" i="11"/>
  <c r="P9" i="11"/>
  <c r="E9" i="11"/>
  <c r="N8" i="11"/>
  <c r="C8" i="11"/>
  <c r="P7" i="11"/>
  <c r="E7" i="11"/>
  <c r="N6" i="11"/>
  <c r="C6" i="11"/>
  <c r="E75" i="11"/>
  <c r="D71" i="11"/>
  <c r="O67" i="11"/>
  <c r="F62" i="11"/>
  <c r="M60" i="11"/>
  <c r="E59" i="11"/>
  <c r="P55" i="11"/>
  <c r="C52" i="11"/>
  <c r="E51" i="11"/>
  <c r="G50" i="11"/>
  <c r="L49" i="11"/>
  <c r="N48" i="11"/>
  <c r="P47" i="11"/>
  <c r="O44" i="11"/>
  <c r="D44" i="11"/>
  <c r="F43" i="11"/>
  <c r="M41" i="11"/>
  <c r="O40" i="11"/>
  <c r="D40" i="11"/>
  <c r="F39" i="11"/>
  <c r="M37" i="11"/>
  <c r="D36" i="11"/>
  <c r="M34" i="11"/>
  <c r="E34" i="11"/>
  <c r="O33" i="11"/>
  <c r="G33" i="11"/>
  <c r="N32" i="11"/>
  <c r="G32" i="11"/>
  <c r="C32" i="11"/>
  <c r="P31" i="11"/>
  <c r="L31" i="11"/>
  <c r="E31" i="11"/>
  <c r="N30" i="11"/>
  <c r="G30" i="11"/>
  <c r="C30" i="11"/>
  <c r="P29" i="11"/>
  <c r="L29" i="11"/>
  <c r="E29" i="11"/>
  <c r="N28" i="11"/>
  <c r="G28" i="11"/>
  <c r="C28" i="11"/>
  <c r="P27" i="11"/>
  <c r="L27" i="11"/>
  <c r="E27" i="11"/>
  <c r="N26" i="11"/>
  <c r="G26" i="11"/>
  <c r="C26" i="11"/>
  <c r="P25" i="11"/>
  <c r="L25" i="11"/>
  <c r="E25" i="11"/>
  <c r="N24" i="11"/>
  <c r="G24" i="11"/>
  <c r="C24" i="11"/>
  <c r="P23" i="11"/>
  <c r="L23" i="11"/>
  <c r="E23" i="11"/>
  <c r="N22" i="11"/>
  <c r="G22" i="11"/>
  <c r="C22" i="11"/>
  <c r="P21" i="11"/>
  <c r="F50" i="11"/>
  <c r="C44" i="11"/>
  <c r="G42" i="11"/>
  <c r="N40" i="11"/>
  <c r="N33" i="11"/>
  <c r="M32" i="11"/>
  <c r="O31" i="11"/>
  <c r="D27" i="11"/>
  <c r="F26" i="11"/>
  <c r="M24" i="11"/>
  <c r="O23" i="11"/>
  <c r="E21" i="11"/>
  <c r="G20" i="11"/>
  <c r="L19" i="11"/>
  <c r="N18" i="11"/>
  <c r="C18" i="11"/>
  <c r="P17" i="11"/>
  <c r="E17" i="11"/>
  <c r="G16" i="11"/>
  <c r="L15" i="11"/>
  <c r="N14" i="11"/>
  <c r="C14" i="11"/>
  <c r="P13" i="11"/>
  <c r="E13" i="11"/>
  <c r="O11" i="11"/>
  <c r="D11" i="11"/>
  <c r="F10" i="11"/>
  <c r="M8" i="11"/>
  <c r="O7" i="11"/>
  <c r="D7" i="11"/>
  <c r="F6" i="11"/>
  <c r="O5" i="11"/>
  <c r="G5" i="11"/>
  <c r="L4" i="11"/>
  <c r="C4" i="11"/>
  <c r="N3" i="11"/>
  <c r="E69" i="11"/>
  <c r="C62" i="11"/>
  <c r="P43" i="11"/>
  <c r="C40" i="11"/>
  <c r="G38" i="11"/>
  <c r="N36" i="11"/>
  <c r="L34" i="11"/>
  <c r="E33" i="11"/>
  <c r="F32" i="11"/>
  <c r="M30" i="11"/>
  <c r="O29" i="11"/>
  <c r="D25" i="11"/>
  <c r="F24" i="11"/>
  <c r="M22" i="11"/>
  <c r="O21" i="11"/>
  <c r="D21" i="11"/>
  <c r="F20" i="11"/>
  <c r="M18" i="11"/>
  <c r="O17" i="11"/>
  <c r="D17" i="11"/>
  <c r="F16" i="11"/>
  <c r="M14" i="11"/>
  <c r="O13" i="11"/>
  <c r="D13" i="11"/>
  <c r="N11" i="11"/>
  <c r="C11" i="11"/>
  <c r="P10" i="11"/>
  <c r="E10" i="11"/>
  <c r="G9" i="11"/>
  <c r="L8" i="11"/>
  <c r="N7" i="11"/>
  <c r="C7" i="11"/>
  <c r="P6" i="11"/>
  <c r="E6" i="11"/>
  <c r="N5" i="11"/>
  <c r="E5" i="11"/>
  <c r="P4" i="11"/>
  <c r="G4" i="11"/>
  <c r="L3" i="11"/>
  <c r="D3" i="11"/>
  <c r="N2" i="11"/>
  <c r="F2" i="11"/>
  <c r="O47" i="11"/>
  <c r="E39" i="11"/>
  <c r="D29" i="11"/>
  <c r="M26" i="11"/>
  <c r="M20" i="11"/>
  <c r="O19" i="11"/>
  <c r="O15" i="11"/>
  <c r="F14" i="11"/>
  <c r="E12" i="11"/>
  <c r="G11" i="11"/>
  <c r="L10" i="11"/>
  <c r="L67" i="11"/>
  <c r="G60" i="11"/>
  <c r="O55" i="11"/>
  <c r="M48" i="11"/>
  <c r="E43" i="11"/>
  <c r="L41" i="11"/>
  <c r="P39" i="11"/>
  <c r="C36" i="11"/>
  <c r="C34" i="11"/>
  <c r="D31" i="11"/>
  <c r="F30" i="11"/>
  <c r="M28" i="11"/>
  <c r="O27" i="11"/>
  <c r="D23" i="11"/>
  <c r="F22" i="11"/>
  <c r="L21" i="11"/>
  <c r="N20" i="11"/>
  <c r="C20" i="11"/>
  <c r="P19" i="11"/>
  <c r="E19" i="11"/>
  <c r="G18" i="11"/>
  <c r="L17" i="11"/>
  <c r="N16" i="11"/>
  <c r="C16" i="11"/>
  <c r="P15" i="11"/>
  <c r="E15" i="11"/>
  <c r="G14" i="11"/>
  <c r="L13" i="11"/>
  <c r="F12" i="11"/>
  <c r="M10" i="11"/>
  <c r="O9" i="11"/>
  <c r="D9" i="11"/>
  <c r="F8" i="11"/>
  <c r="M6" i="11"/>
  <c r="L5" i="11"/>
  <c r="D5" i="11"/>
  <c r="N4" i="11"/>
  <c r="F4" i="11"/>
  <c r="P3" i="11"/>
  <c r="C3" i="11"/>
  <c r="M2" i="11"/>
  <c r="E2" i="11"/>
  <c r="P65" i="11"/>
  <c r="D59" i="11"/>
  <c r="D51" i="11"/>
  <c r="N44" i="11"/>
  <c r="L37" i="11"/>
  <c r="F28" i="11"/>
  <c r="O25" i="11"/>
  <c r="D19" i="11"/>
  <c r="F18" i="11"/>
  <c r="M16" i="11"/>
  <c r="D15" i="11"/>
  <c r="E8" i="11"/>
  <c r="L6" i="11"/>
  <c r="C5" i="11"/>
  <c r="L2" i="11"/>
  <c r="C9" i="11"/>
  <c r="P5" i="11"/>
  <c r="G3" i="11"/>
  <c r="C2" i="11"/>
  <c r="P8" i="11"/>
  <c r="E4" i="11"/>
  <c r="P2" i="11"/>
  <c r="N9" i="11"/>
  <c r="O3" i="11"/>
  <c r="G2" i="11"/>
  <c r="G7" i="11"/>
  <c r="M4" i="11"/>
  <c r="E3" i="11"/>
  <c r="N35" i="11"/>
  <c r="O34" i="11"/>
  <c r="O35" i="11"/>
  <c r="O36" i="11"/>
  <c r="P36" i="11"/>
  <c r="P34" i="11"/>
  <c r="P35" i="11"/>
  <c r="P74" i="11"/>
  <c r="P75" i="11"/>
  <c r="P76" i="11"/>
  <c r="O76" i="11"/>
  <c r="O74" i="11"/>
  <c r="O75" i="11"/>
  <c r="N76" i="11"/>
  <c r="N74" i="11"/>
  <c r="N75" i="11"/>
  <c r="M74" i="11"/>
  <c r="M75" i="11"/>
  <c r="M72" i="11"/>
  <c r="M76" i="11"/>
  <c r="M73" i="11"/>
  <c r="L76" i="11"/>
  <c r="L71" i="11"/>
  <c r="L72" i="11"/>
  <c r="L73" i="11"/>
  <c r="L74" i="11"/>
  <c r="L75" i="11"/>
  <c r="G78" i="11" l="1"/>
  <c r="P78" i="11"/>
  <c r="C78" i="11"/>
  <c r="J2" i="11"/>
  <c r="J9" i="11"/>
  <c r="L78" i="11"/>
  <c r="J5" i="11"/>
  <c r="E78" i="11"/>
  <c r="M78" i="11"/>
  <c r="J3" i="11"/>
  <c r="J16" i="11"/>
  <c r="J20" i="11"/>
  <c r="J34" i="11"/>
  <c r="J36" i="11"/>
  <c r="F78" i="11"/>
  <c r="N78" i="11"/>
  <c r="J7" i="11"/>
  <c r="J11" i="11"/>
  <c r="J40" i="11"/>
  <c r="J62" i="11"/>
  <c r="J4" i="11"/>
  <c r="J14" i="11"/>
  <c r="J18" i="11"/>
  <c r="J44" i="11"/>
  <c r="J22" i="11"/>
  <c r="J24" i="11"/>
  <c r="J26" i="11"/>
  <c r="J28" i="11"/>
  <c r="J30" i="11"/>
  <c r="J32" i="11"/>
  <c r="J52" i="11"/>
  <c r="J6" i="11"/>
  <c r="J8" i="11"/>
  <c r="J10" i="11"/>
  <c r="J12" i="11"/>
  <c r="J33" i="11"/>
  <c r="J38" i="11"/>
  <c r="J42" i="11"/>
  <c r="J70" i="11"/>
  <c r="D78" i="11"/>
  <c r="O78" i="11"/>
  <c r="J13" i="11"/>
  <c r="J15" i="11"/>
  <c r="J17" i="11"/>
  <c r="J19" i="11"/>
  <c r="J21" i="11"/>
  <c r="J23" i="11"/>
  <c r="J25" i="11"/>
  <c r="J27" i="11"/>
  <c r="J29" i="11"/>
  <c r="J31" i="11"/>
  <c r="J48" i="11"/>
  <c r="J37" i="11"/>
  <c r="J39" i="11"/>
  <c r="J41" i="11"/>
  <c r="J43" i="11"/>
  <c r="J57" i="11"/>
  <c r="J66" i="11"/>
  <c r="J74" i="11"/>
  <c r="J35" i="11"/>
  <c r="J46" i="11"/>
  <c r="J50" i="11"/>
  <c r="J54" i="11"/>
  <c r="J60" i="11"/>
  <c r="J58" i="11"/>
  <c r="J64" i="11"/>
  <c r="J68" i="11"/>
  <c r="J72" i="11"/>
  <c r="J45" i="11"/>
  <c r="J47" i="11"/>
  <c r="J49" i="11"/>
  <c r="J51" i="11"/>
  <c r="J53" i="11"/>
  <c r="J55" i="11"/>
  <c r="J56" i="11"/>
  <c r="J59" i="11"/>
  <c r="J76" i="11"/>
  <c r="J75" i="11"/>
  <c r="J61" i="11"/>
  <c r="J63" i="11"/>
  <c r="J65" i="11"/>
  <c r="J67" i="11"/>
  <c r="J69" i="11"/>
  <c r="J71" i="11"/>
  <c r="J73" i="11"/>
  <c r="X77" i="11"/>
  <c r="AE77" i="11" s="1"/>
  <c r="AO77" i="11" s="1"/>
  <c r="AY77" i="11" s="1"/>
  <c r="BE77" i="11" s="1"/>
  <c r="BL77" i="11" s="1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E1645" i="8"/>
  <c r="E1646" i="8"/>
  <c r="E1647" i="8"/>
  <c r="E1648" i="8"/>
  <c r="E1649" i="8"/>
  <c r="E1650" i="8"/>
  <c r="E1651" i="8"/>
  <c r="E1652" i="8"/>
  <c r="E1653" i="8"/>
  <c r="E1654" i="8"/>
  <c r="E1655" i="8"/>
  <c r="E1656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E1671" i="8"/>
  <c r="E1672" i="8"/>
  <c r="E1673" i="8"/>
  <c r="E1674" i="8"/>
  <c r="E1675" i="8"/>
  <c r="E1676" i="8"/>
  <c r="E1677" i="8"/>
  <c r="E1678" i="8"/>
  <c r="E1679" i="8"/>
  <c r="E1680" i="8"/>
  <c r="E1681" i="8"/>
  <c r="E1682" i="8"/>
  <c r="E1683" i="8"/>
  <c r="E1684" i="8"/>
  <c r="E1685" i="8"/>
  <c r="E1686" i="8"/>
  <c r="E1687" i="8"/>
  <c r="E1688" i="8"/>
  <c r="E1689" i="8"/>
  <c r="E1690" i="8"/>
  <c r="E1691" i="8"/>
  <c r="E1692" i="8"/>
  <c r="E1693" i="8"/>
  <c r="E1694" i="8"/>
  <c r="E1695" i="8"/>
  <c r="E1696" i="8"/>
  <c r="E1697" i="8"/>
  <c r="E1698" i="8"/>
  <c r="E1699" i="8"/>
  <c r="E1700" i="8"/>
  <c r="E1701" i="8"/>
  <c r="E1702" i="8"/>
  <c r="E1703" i="8"/>
  <c r="E1704" i="8"/>
  <c r="E1705" i="8"/>
  <c r="E1706" i="8"/>
  <c r="E1707" i="8"/>
  <c r="E1708" i="8"/>
  <c r="E1709" i="8"/>
  <c r="E1710" i="8"/>
  <c r="E1711" i="8"/>
  <c r="E1712" i="8"/>
  <c r="E1713" i="8"/>
  <c r="E1714" i="8"/>
  <c r="E1715" i="8"/>
  <c r="E1716" i="8"/>
  <c r="E1717" i="8"/>
  <c r="E1718" i="8"/>
  <c r="E1719" i="8"/>
  <c r="E1720" i="8"/>
  <c r="E1721" i="8"/>
  <c r="E1722" i="8"/>
  <c r="E1723" i="8"/>
  <c r="E1724" i="8"/>
  <c r="E1725" i="8"/>
  <c r="E1726" i="8"/>
  <c r="E1727" i="8"/>
  <c r="E1728" i="8"/>
  <c r="E1729" i="8"/>
  <c r="E1730" i="8"/>
  <c r="E1731" i="8"/>
  <c r="E1732" i="8"/>
  <c r="E1733" i="8"/>
  <c r="E1734" i="8"/>
  <c r="E1735" i="8"/>
  <c r="E1736" i="8"/>
  <c r="E1737" i="8"/>
  <c r="E1738" i="8"/>
  <c r="E1739" i="8"/>
  <c r="E1740" i="8"/>
  <c r="E1741" i="8"/>
  <c r="E1742" i="8"/>
  <c r="E1743" i="8"/>
  <c r="E1744" i="8"/>
  <c r="E1745" i="8"/>
  <c r="E1746" i="8"/>
  <c r="E1747" i="8"/>
  <c r="E1748" i="8"/>
  <c r="E1749" i="8"/>
  <c r="E1750" i="8"/>
  <c r="E1751" i="8"/>
  <c r="E1752" i="8"/>
  <c r="E1753" i="8"/>
  <c r="E1754" i="8"/>
  <c r="E1755" i="8"/>
  <c r="E1756" i="8"/>
  <c r="E1757" i="8"/>
  <c r="E1758" i="8"/>
  <c r="E1759" i="8"/>
  <c r="E1760" i="8"/>
  <c r="E1761" i="8"/>
  <c r="E1762" i="8"/>
  <c r="E1763" i="8"/>
  <c r="E1764" i="8"/>
  <c r="E1765" i="8"/>
  <c r="E1766" i="8"/>
  <c r="E1767" i="8"/>
  <c r="E1768" i="8"/>
  <c r="E1769" i="8"/>
  <c r="E1770" i="8"/>
  <c r="E1771" i="8"/>
  <c r="E1772" i="8"/>
  <c r="E1773" i="8"/>
  <c r="E1774" i="8"/>
  <c r="E1775" i="8"/>
  <c r="E1776" i="8"/>
  <c r="E1777" i="8"/>
  <c r="E1778" i="8"/>
  <c r="E1779" i="8"/>
  <c r="E1780" i="8"/>
  <c r="E1781" i="8"/>
  <c r="E1782" i="8"/>
  <c r="E1783" i="8"/>
  <c r="E1784" i="8"/>
  <c r="E1785" i="8"/>
  <c r="E1786" i="8"/>
  <c r="E1787" i="8"/>
  <c r="E1788" i="8"/>
  <c r="E1789" i="8"/>
  <c r="E1790" i="8"/>
  <c r="E1791" i="8"/>
  <c r="E1792" i="8"/>
  <c r="E1793" i="8"/>
  <c r="E1794" i="8"/>
  <c r="E1795" i="8"/>
  <c r="E1796" i="8"/>
  <c r="E1797" i="8"/>
  <c r="E1798" i="8"/>
  <c r="E1799" i="8"/>
  <c r="E1800" i="8"/>
  <c r="E1801" i="8"/>
  <c r="E1802" i="8"/>
  <c r="E1803" i="8"/>
  <c r="E1804" i="8"/>
  <c r="E1805" i="8"/>
  <c r="E1806" i="8"/>
  <c r="E1807" i="8"/>
  <c r="E1808" i="8"/>
  <c r="E1809" i="8"/>
  <c r="E1810" i="8"/>
  <c r="E1811" i="8"/>
  <c r="E1812" i="8"/>
  <c r="E1813" i="8"/>
  <c r="E1814" i="8"/>
  <c r="E1815" i="8"/>
  <c r="E1816" i="8"/>
  <c r="E1817" i="8"/>
  <c r="E1818" i="8"/>
  <c r="E1819" i="8"/>
  <c r="E1820" i="8"/>
  <c r="E1821" i="8"/>
  <c r="E1822" i="8"/>
  <c r="E1823" i="8"/>
  <c r="E1824" i="8"/>
  <c r="E1825" i="8"/>
  <c r="E1826" i="8"/>
  <c r="E1827" i="8"/>
  <c r="E1828" i="8"/>
  <c r="E1829" i="8"/>
  <c r="E1830" i="8"/>
  <c r="E1831" i="8"/>
  <c r="E1832" i="8"/>
  <c r="E1833" i="8"/>
  <c r="E1834" i="8"/>
  <c r="E1835" i="8"/>
  <c r="E1836" i="8"/>
  <c r="E1837" i="8"/>
  <c r="E1838" i="8"/>
  <c r="E1839" i="8"/>
  <c r="E1840" i="8"/>
  <c r="E1841" i="8"/>
  <c r="E1842" i="8"/>
  <c r="E1843" i="8"/>
  <c r="E1844" i="8"/>
  <c r="E1845" i="8"/>
  <c r="E1846" i="8"/>
  <c r="E1847" i="8"/>
  <c r="E1848" i="8"/>
  <c r="E1849" i="8"/>
  <c r="E1850" i="8"/>
  <c r="E1851" i="8"/>
  <c r="E1852" i="8"/>
  <c r="E1853" i="8"/>
  <c r="E1854" i="8"/>
  <c r="E1855" i="8"/>
  <c r="E1856" i="8"/>
  <c r="E1857" i="8"/>
  <c r="E1858" i="8"/>
  <c r="E1859" i="8"/>
  <c r="E1860" i="8"/>
  <c r="E1861" i="8"/>
  <c r="E1862" i="8"/>
  <c r="E1863" i="8"/>
  <c r="E1864" i="8"/>
  <c r="E1865" i="8"/>
  <c r="E1866" i="8"/>
  <c r="E1867" i="8"/>
  <c r="E1868" i="8"/>
  <c r="E1869" i="8"/>
  <c r="E1870" i="8"/>
  <c r="E1871" i="8"/>
  <c r="E1872" i="8"/>
  <c r="E1873" i="8"/>
  <c r="E1874" i="8"/>
  <c r="E1875" i="8"/>
  <c r="E1876" i="8"/>
  <c r="E1877" i="8"/>
  <c r="E1878" i="8"/>
  <c r="E1879" i="8"/>
  <c r="E1880" i="8"/>
  <c r="E1881" i="8"/>
  <c r="E1882" i="8"/>
  <c r="E1883" i="8"/>
  <c r="E1884" i="8"/>
  <c r="E1885" i="8"/>
  <c r="E1886" i="8"/>
  <c r="E1887" i="8"/>
  <c r="E1888" i="8"/>
  <c r="E1889" i="8"/>
  <c r="E1890" i="8"/>
  <c r="E1891" i="8"/>
  <c r="E1892" i="8"/>
  <c r="E1893" i="8"/>
  <c r="E1894" i="8"/>
  <c r="E1895" i="8"/>
  <c r="E1896" i="8"/>
  <c r="E1897" i="8"/>
  <c r="E1898" i="8"/>
  <c r="E1899" i="8"/>
  <c r="E1900" i="8"/>
  <c r="E1901" i="8"/>
  <c r="E1902" i="8"/>
  <c r="E1903" i="8"/>
  <c r="E1904" i="8"/>
  <c r="E1905" i="8"/>
  <c r="E1906" i="8"/>
  <c r="E1907" i="8"/>
  <c r="E1908" i="8"/>
  <c r="E1909" i="8"/>
  <c r="E1910" i="8"/>
  <c r="E1911" i="8"/>
  <c r="E1912" i="8"/>
  <c r="E1913" i="8"/>
  <c r="E1914" i="8"/>
  <c r="E1915" i="8"/>
  <c r="E1916" i="8"/>
  <c r="E1917" i="8"/>
  <c r="E1918" i="8"/>
  <c r="E1919" i="8"/>
  <c r="E1920" i="8"/>
  <c r="E1921" i="8"/>
  <c r="E1922" i="8"/>
  <c r="E1923" i="8"/>
  <c r="E1924" i="8"/>
  <c r="E1925" i="8"/>
  <c r="E1926" i="8"/>
  <c r="E1927" i="8"/>
  <c r="E1928" i="8"/>
  <c r="E1929" i="8"/>
  <c r="E1930" i="8"/>
  <c r="E1931" i="8"/>
  <c r="E1932" i="8"/>
  <c r="E1933" i="8"/>
  <c r="E1934" i="8"/>
  <c r="E1935" i="8"/>
  <c r="E1936" i="8"/>
  <c r="E1937" i="8"/>
  <c r="E1938" i="8"/>
  <c r="E1939" i="8"/>
  <c r="E1940" i="8"/>
  <c r="E1941" i="8"/>
  <c r="E1942" i="8"/>
  <c r="E1943" i="8"/>
  <c r="E1944" i="8"/>
  <c r="E1945" i="8"/>
  <c r="E1946" i="8"/>
  <c r="E1947" i="8"/>
  <c r="E1948" i="8"/>
  <c r="E1949" i="8"/>
  <c r="E1950" i="8"/>
  <c r="E1951" i="8"/>
  <c r="E1952" i="8"/>
  <c r="E1953" i="8"/>
  <c r="E1954" i="8"/>
  <c r="E1955" i="8"/>
  <c r="E1956" i="8"/>
  <c r="E1957" i="8"/>
  <c r="E1958" i="8"/>
  <c r="E1959" i="8"/>
  <c r="E1960" i="8"/>
  <c r="E1961" i="8"/>
  <c r="E1962" i="8"/>
  <c r="E1963" i="8"/>
  <c r="E1964" i="8"/>
  <c r="E1965" i="8"/>
  <c r="E1966" i="8"/>
  <c r="E1967" i="8"/>
  <c r="E1968" i="8"/>
  <c r="E1969" i="8"/>
  <c r="E1970" i="8"/>
  <c r="E1971" i="8"/>
  <c r="E1972" i="8"/>
  <c r="E1973" i="8"/>
  <c r="E1974" i="8"/>
  <c r="E1975" i="8"/>
  <c r="E1976" i="8"/>
  <c r="E1977" i="8"/>
  <c r="E1978" i="8"/>
  <c r="E1979" i="8"/>
  <c r="E1980" i="8"/>
  <c r="E1981" i="8"/>
  <c r="E1982" i="8"/>
  <c r="E1983" i="8"/>
  <c r="E1984" i="8"/>
  <c r="E1985" i="8"/>
  <c r="E1986" i="8"/>
  <c r="E1987" i="8"/>
  <c r="E1988" i="8"/>
  <c r="E1989" i="8"/>
  <c r="E1990" i="8"/>
  <c r="E1991" i="8"/>
  <c r="E1992" i="8"/>
  <c r="E1993" i="8"/>
  <c r="E1994" i="8"/>
  <c r="E1995" i="8"/>
  <c r="E1996" i="8"/>
  <c r="E1997" i="8"/>
  <c r="E1998" i="8"/>
  <c r="E1999" i="8"/>
  <c r="E2000" i="8"/>
  <c r="E2001" i="8"/>
  <c r="E2002" i="8"/>
  <c r="E2003" i="8"/>
  <c r="E2004" i="8"/>
  <c r="E2005" i="8"/>
  <c r="E2006" i="8"/>
  <c r="E2007" i="8"/>
  <c r="E2008" i="8"/>
  <c r="E2009" i="8"/>
  <c r="E2010" i="8"/>
  <c r="E2011" i="8"/>
  <c r="E2012" i="8"/>
  <c r="E2013" i="8"/>
  <c r="E2014" i="8"/>
  <c r="E2015" i="8"/>
  <c r="E2016" i="8"/>
  <c r="E2017" i="8"/>
  <c r="E2018" i="8"/>
  <c r="E2019" i="8"/>
  <c r="E2020" i="8"/>
  <c r="E2021" i="8"/>
  <c r="E2022" i="8"/>
  <c r="E2023" i="8"/>
  <c r="E2024" i="8"/>
  <c r="E2025" i="8"/>
  <c r="E2026" i="8"/>
  <c r="E2027" i="8"/>
  <c r="E2028" i="8"/>
  <c r="E2029" i="8"/>
  <c r="E2030" i="8"/>
  <c r="E2031" i="8"/>
  <c r="E2032" i="8"/>
  <c r="E2033" i="8"/>
  <c r="E2034" i="8"/>
  <c r="E2035" i="8"/>
  <c r="E2036" i="8"/>
  <c r="E2037" i="8"/>
  <c r="E2038" i="8"/>
  <c r="E2039" i="8"/>
  <c r="E2040" i="8"/>
  <c r="E2041" i="8"/>
  <c r="E2042" i="8"/>
  <c r="E2043" i="8"/>
  <c r="E2044" i="8"/>
  <c r="E2045" i="8"/>
  <c r="E2046" i="8"/>
  <c r="E2047" i="8"/>
  <c r="E2048" i="8"/>
  <c r="E2049" i="8"/>
  <c r="E2050" i="8"/>
  <c r="E2051" i="8"/>
  <c r="E2052" i="8"/>
  <c r="E2053" i="8"/>
  <c r="E2054" i="8"/>
  <c r="E2055" i="8"/>
  <c r="E2056" i="8"/>
  <c r="E2057" i="8"/>
  <c r="E2058" i="8"/>
  <c r="E2059" i="8"/>
  <c r="E2060" i="8"/>
  <c r="E2061" i="8"/>
  <c r="E2062" i="8"/>
  <c r="E2063" i="8"/>
  <c r="E2064" i="8"/>
  <c r="E2065" i="8"/>
  <c r="E2066" i="8"/>
  <c r="E2067" i="8"/>
  <c r="E2068" i="8"/>
  <c r="E2069" i="8"/>
  <c r="E2070" i="8"/>
  <c r="E2071" i="8"/>
  <c r="E2072" i="8"/>
  <c r="E2073" i="8"/>
  <c r="E2074" i="8"/>
  <c r="E2075" i="8"/>
  <c r="E2076" i="8"/>
  <c r="E2077" i="8"/>
  <c r="E2078" i="8"/>
  <c r="E2079" i="8"/>
  <c r="E2080" i="8"/>
  <c r="E2081" i="8"/>
  <c r="E2082" i="8"/>
  <c r="E2083" i="8"/>
  <c r="E2084" i="8"/>
  <c r="E2085" i="8"/>
  <c r="E2086" i="8"/>
  <c r="E2087" i="8"/>
  <c r="E2088" i="8"/>
  <c r="E2089" i="8"/>
  <c r="E2090" i="8"/>
  <c r="E2091" i="8"/>
  <c r="E2092" i="8"/>
  <c r="E2093" i="8"/>
  <c r="E2094" i="8"/>
  <c r="E2095" i="8"/>
  <c r="E2096" i="8"/>
  <c r="E2097" i="8"/>
  <c r="E2098" i="8"/>
  <c r="E2099" i="8"/>
  <c r="E2100" i="8"/>
  <c r="E2101" i="8"/>
  <c r="E2102" i="8"/>
  <c r="E2103" i="8"/>
  <c r="E2104" i="8"/>
  <c r="E2105" i="8"/>
  <c r="E2106" i="8"/>
  <c r="E2107" i="8"/>
  <c r="E2108" i="8"/>
  <c r="E2109" i="8"/>
  <c r="E2110" i="8"/>
  <c r="E2111" i="8"/>
  <c r="E2112" i="8"/>
  <c r="E2113" i="8"/>
  <c r="E2114" i="8"/>
  <c r="E2115" i="8"/>
  <c r="E2116" i="8"/>
  <c r="E2117" i="8"/>
  <c r="E2118" i="8"/>
  <c r="E2119" i="8"/>
  <c r="E2120" i="8"/>
  <c r="E2121" i="8"/>
  <c r="E2122" i="8"/>
  <c r="E2123" i="8"/>
  <c r="E2124" i="8"/>
  <c r="E2125" i="8"/>
  <c r="E2126" i="8"/>
  <c r="E2127" i="8"/>
  <c r="E2128" i="8"/>
  <c r="E2129" i="8"/>
  <c r="E2130" i="8"/>
  <c r="E2131" i="8"/>
  <c r="E2132" i="8"/>
  <c r="E2133" i="8"/>
  <c r="E2134" i="8"/>
  <c r="E2135" i="8"/>
  <c r="E2136" i="8"/>
  <c r="E2137" i="8"/>
  <c r="E2138" i="8"/>
  <c r="E2139" i="8"/>
  <c r="E2140" i="8"/>
  <c r="E2141" i="8"/>
  <c r="E2142" i="8"/>
  <c r="E2143" i="8"/>
  <c r="E2144" i="8"/>
  <c r="E2145" i="8"/>
  <c r="E2146" i="8"/>
  <c r="E2147" i="8"/>
  <c r="E2148" i="8"/>
  <c r="E2149" i="8"/>
  <c r="E2150" i="8"/>
  <c r="E2151" i="8"/>
  <c r="E2152" i="8"/>
  <c r="E2153" i="8"/>
  <c r="E2154" i="8"/>
  <c r="E2155" i="8"/>
  <c r="E2156" i="8"/>
  <c r="E2157" i="8"/>
  <c r="E2158" i="8"/>
  <c r="E2159" i="8"/>
  <c r="E2160" i="8"/>
  <c r="E2161" i="8"/>
  <c r="E2162" i="8"/>
  <c r="E2163" i="8"/>
  <c r="E2164" i="8"/>
  <c r="E2165" i="8"/>
  <c r="E2166" i="8"/>
  <c r="E2167" i="8"/>
  <c r="E2168" i="8"/>
  <c r="E2169" i="8"/>
  <c r="E2170" i="8"/>
  <c r="E2171" i="8"/>
  <c r="E2172" i="8"/>
  <c r="E2173" i="8"/>
  <c r="E2174" i="8"/>
  <c r="E2175" i="8"/>
  <c r="E2176" i="8"/>
  <c r="E2177" i="8"/>
  <c r="E2178" i="8"/>
  <c r="E2179" i="8"/>
  <c r="E2180" i="8"/>
  <c r="E2181" i="8"/>
  <c r="E2182" i="8"/>
  <c r="E2183" i="8"/>
  <c r="E2184" i="8"/>
  <c r="E2185" i="8"/>
  <c r="E2186" i="8"/>
  <c r="E2187" i="8"/>
  <c r="E2188" i="8"/>
  <c r="E2189" i="8"/>
  <c r="E2190" i="8"/>
  <c r="E2191" i="8"/>
  <c r="E2192" i="8"/>
  <c r="E2193" i="8"/>
  <c r="E2194" i="8"/>
  <c r="E2195" i="8"/>
  <c r="E2196" i="8"/>
  <c r="E2197" i="8"/>
  <c r="E2198" i="8"/>
  <c r="E2199" i="8"/>
  <c r="E2200" i="8"/>
  <c r="E2201" i="8"/>
  <c r="E2202" i="8"/>
  <c r="E2203" i="8"/>
  <c r="E2204" i="8"/>
  <c r="E2205" i="8"/>
  <c r="E2206" i="8"/>
  <c r="E2207" i="8"/>
  <c r="E2208" i="8"/>
  <c r="E2209" i="8"/>
  <c r="E2210" i="8"/>
  <c r="E2211" i="8"/>
  <c r="E2212" i="8"/>
  <c r="E2213" i="8"/>
  <c r="E2214" i="8"/>
  <c r="E2215" i="8"/>
  <c r="E2216" i="8"/>
  <c r="E2217" i="8"/>
  <c r="E2218" i="8"/>
  <c r="E2219" i="8"/>
  <c r="E2220" i="8"/>
  <c r="E2221" i="8"/>
  <c r="E2222" i="8"/>
  <c r="E2223" i="8"/>
  <c r="E2224" i="8"/>
  <c r="E2225" i="8"/>
  <c r="E2226" i="8"/>
  <c r="E2227" i="8"/>
  <c r="E2228" i="8"/>
  <c r="E2229" i="8"/>
  <c r="E2230" i="8"/>
  <c r="E2231" i="8"/>
  <c r="E2232" i="8"/>
  <c r="E2233" i="8"/>
  <c r="E2234" i="8"/>
  <c r="E2235" i="8"/>
  <c r="E2236" i="8"/>
  <c r="E2237" i="8"/>
  <c r="E2238" i="8"/>
  <c r="E2239" i="8"/>
  <c r="E2240" i="8"/>
  <c r="E2241" i="8"/>
  <c r="E2242" i="8"/>
  <c r="E2243" i="8"/>
  <c r="E2244" i="8"/>
  <c r="E2245" i="8"/>
  <c r="E2246" i="8"/>
  <c r="E2247" i="8"/>
  <c r="E2248" i="8"/>
  <c r="E2249" i="8"/>
  <c r="E2250" i="8"/>
  <c r="E2251" i="8"/>
  <c r="E2252" i="8"/>
  <c r="E2253" i="8"/>
  <c r="E2254" i="8"/>
  <c r="E2255" i="8"/>
  <c r="E2256" i="8"/>
  <c r="E2257" i="8"/>
  <c r="E2258" i="8"/>
  <c r="E2259" i="8"/>
  <c r="E2260" i="8"/>
  <c r="E2261" i="8"/>
  <c r="E2262" i="8"/>
  <c r="E2263" i="8"/>
  <c r="E2264" i="8"/>
  <c r="E2265" i="8"/>
  <c r="E2266" i="8"/>
  <c r="E2267" i="8"/>
  <c r="E2268" i="8"/>
  <c r="E2269" i="8"/>
  <c r="E2270" i="8"/>
  <c r="E2271" i="8"/>
  <c r="E2272" i="8"/>
  <c r="E2273" i="8"/>
  <c r="E2274" i="8"/>
  <c r="E2275" i="8"/>
  <c r="E2276" i="8"/>
  <c r="E2277" i="8"/>
  <c r="E2278" i="8"/>
  <c r="E2279" i="8"/>
  <c r="E2280" i="8"/>
  <c r="E2281" i="8"/>
  <c r="E2282" i="8"/>
  <c r="E2283" i="8"/>
  <c r="E2284" i="8"/>
  <c r="E2285" i="8"/>
  <c r="E2286" i="8"/>
  <c r="E2287" i="8"/>
  <c r="E2288" i="8"/>
  <c r="E2289" i="8"/>
  <c r="E2290" i="8"/>
  <c r="E2291" i="8"/>
  <c r="E2292" i="8"/>
  <c r="E2293" i="8"/>
  <c r="E2294" i="8"/>
  <c r="E2295" i="8"/>
  <c r="E2296" i="8"/>
  <c r="E2297" i="8"/>
  <c r="E2298" i="8"/>
  <c r="E2299" i="8"/>
  <c r="E2300" i="8"/>
  <c r="E2301" i="8"/>
  <c r="E2302" i="8"/>
  <c r="E2303" i="8"/>
  <c r="E2304" i="8"/>
  <c r="E2305" i="8"/>
  <c r="E2306" i="8"/>
  <c r="E2307" i="8"/>
  <c r="E2308" i="8"/>
  <c r="E2309" i="8"/>
  <c r="E2310" i="8"/>
  <c r="E2311" i="8"/>
  <c r="E2312" i="8"/>
  <c r="E2313" i="8"/>
  <c r="E2314" i="8"/>
  <c r="E2315" i="8"/>
  <c r="E2316" i="8"/>
  <c r="E2317" i="8"/>
  <c r="E2318" i="8"/>
  <c r="E2319" i="8"/>
  <c r="E2320" i="8"/>
  <c r="E2321" i="8"/>
  <c r="E2322" i="8"/>
  <c r="E2323" i="8"/>
  <c r="E2324" i="8"/>
  <c r="E2325" i="8"/>
  <c r="E2326" i="8"/>
  <c r="E2327" i="8"/>
  <c r="E2328" i="8"/>
  <c r="E2329" i="8"/>
  <c r="E2330" i="8"/>
  <c r="E2331" i="8"/>
  <c r="E2332" i="8"/>
  <c r="E2333" i="8"/>
  <c r="E2334" i="8"/>
  <c r="E2335" i="8"/>
  <c r="E2336" i="8"/>
  <c r="E2337" i="8"/>
  <c r="E2338" i="8"/>
  <c r="E2339" i="8"/>
  <c r="E2340" i="8"/>
  <c r="E2341" i="8"/>
  <c r="E2342" i="8"/>
  <c r="E2343" i="8"/>
  <c r="E2344" i="8"/>
  <c r="E2345" i="8"/>
  <c r="E2346" i="8"/>
  <c r="E2347" i="8"/>
  <c r="E2348" i="8"/>
  <c r="E2349" i="8"/>
  <c r="E2350" i="8"/>
  <c r="E2351" i="8"/>
  <c r="E2352" i="8"/>
  <c r="E2353" i="8"/>
  <c r="E2354" i="8"/>
  <c r="E2355" i="8"/>
  <c r="E2356" i="8"/>
  <c r="E2357" i="8"/>
  <c r="E2358" i="8"/>
  <c r="E2359" i="8"/>
  <c r="E2360" i="8"/>
  <c r="E2361" i="8"/>
  <c r="E2362" i="8"/>
  <c r="E2363" i="8"/>
  <c r="E2364" i="8"/>
  <c r="E2365" i="8"/>
  <c r="E2366" i="8"/>
  <c r="E2367" i="8"/>
  <c r="E2368" i="8"/>
  <c r="E2369" i="8"/>
  <c r="E2370" i="8"/>
  <c r="E2371" i="8"/>
  <c r="E2372" i="8"/>
  <c r="E2373" i="8"/>
  <c r="E2374" i="8"/>
  <c r="E2375" i="8"/>
  <c r="E2376" i="8"/>
  <c r="E2377" i="8"/>
  <c r="E2378" i="8"/>
  <c r="E2379" i="8"/>
  <c r="E2380" i="8"/>
  <c r="E2381" i="8"/>
  <c r="E2382" i="8"/>
  <c r="E2383" i="8"/>
  <c r="E2384" i="8"/>
  <c r="E2385" i="8"/>
  <c r="E2386" i="8"/>
  <c r="E2387" i="8"/>
  <c r="E2388" i="8"/>
  <c r="E2389" i="8"/>
  <c r="E2390" i="8"/>
  <c r="E2391" i="8"/>
  <c r="E2392" i="8"/>
  <c r="E2393" i="8"/>
  <c r="E2394" i="8"/>
  <c r="E2395" i="8"/>
  <c r="E2396" i="8"/>
  <c r="E2397" i="8"/>
  <c r="E2398" i="8"/>
  <c r="E2399" i="8"/>
  <c r="E2400" i="8"/>
  <c r="E2401" i="8"/>
  <c r="E2402" i="8"/>
  <c r="E2403" i="8"/>
  <c r="E2404" i="8"/>
  <c r="E2405" i="8"/>
  <c r="E2406" i="8"/>
  <c r="E2407" i="8"/>
  <c r="E2408" i="8"/>
  <c r="E2409" i="8"/>
  <c r="E2410" i="8"/>
  <c r="E2411" i="8"/>
  <c r="E2412" i="8"/>
  <c r="E2413" i="8"/>
  <c r="E2414" i="8"/>
  <c r="E2415" i="8"/>
  <c r="E2416" i="8"/>
  <c r="E2417" i="8"/>
  <c r="E2418" i="8"/>
  <c r="E2419" i="8"/>
  <c r="E2420" i="8"/>
  <c r="E2421" i="8"/>
  <c r="E2422" i="8"/>
  <c r="E2423" i="8"/>
  <c r="E2424" i="8"/>
  <c r="E2425" i="8"/>
  <c r="E2426" i="8"/>
  <c r="E2427" i="8"/>
  <c r="E2428" i="8"/>
  <c r="E2429" i="8"/>
  <c r="E2430" i="8"/>
  <c r="E2431" i="8"/>
  <c r="E2432" i="8"/>
  <c r="E2433" i="8"/>
  <c r="E2434" i="8"/>
  <c r="E2435" i="8"/>
  <c r="E2436" i="8"/>
  <c r="E2437" i="8"/>
  <c r="E2438" i="8"/>
  <c r="E2439" i="8"/>
  <c r="E2440" i="8"/>
  <c r="E2441" i="8"/>
  <c r="E2442" i="8"/>
  <c r="E2443" i="8"/>
  <c r="E2444" i="8"/>
  <c r="E2445" i="8"/>
  <c r="E2446" i="8"/>
  <c r="E2447" i="8"/>
  <c r="E2448" i="8"/>
  <c r="E2449" i="8"/>
  <c r="E2450" i="8"/>
  <c r="E2451" i="8"/>
  <c r="E2452" i="8"/>
  <c r="E2453" i="8"/>
  <c r="E2454" i="8"/>
  <c r="E2455" i="8"/>
  <c r="E2456" i="8"/>
  <c r="E2457" i="8"/>
  <c r="E2458" i="8"/>
  <c r="E2459" i="8"/>
  <c r="E2460" i="8"/>
  <c r="E2461" i="8"/>
  <c r="E2462" i="8"/>
  <c r="E2463" i="8"/>
  <c r="E2464" i="8"/>
  <c r="E2465" i="8"/>
  <c r="E2466" i="8"/>
  <c r="E2467" i="8"/>
  <c r="E2468" i="8"/>
  <c r="E2469" i="8"/>
  <c r="E2470" i="8"/>
  <c r="E2471" i="8"/>
  <c r="E2472" i="8"/>
  <c r="E2473" i="8"/>
  <c r="E2474" i="8"/>
  <c r="E2475" i="8"/>
  <c r="E2476" i="8"/>
  <c r="E2477" i="8"/>
  <c r="E2478" i="8"/>
  <c r="E2479" i="8"/>
  <c r="E2480" i="8"/>
  <c r="E2481" i="8"/>
  <c r="E2482" i="8"/>
  <c r="E2483" i="8"/>
  <c r="E2484" i="8"/>
  <c r="E2485" i="8"/>
  <c r="E2486" i="8"/>
  <c r="E2487" i="8"/>
  <c r="E2488" i="8"/>
  <c r="E2489" i="8"/>
  <c r="E2490" i="8"/>
  <c r="E2491" i="8"/>
  <c r="E2492" i="8"/>
  <c r="E2493" i="8"/>
  <c r="E2494" i="8"/>
  <c r="E2495" i="8"/>
  <c r="E2496" i="8"/>
  <c r="E2497" i="8"/>
  <c r="E2498" i="8"/>
  <c r="E2499" i="8"/>
  <c r="E2500" i="8"/>
  <c r="E2501" i="8"/>
  <c r="E2502" i="8"/>
  <c r="E2503" i="8"/>
  <c r="E2504" i="8"/>
  <c r="E2505" i="8"/>
  <c r="E2506" i="8"/>
  <c r="E2507" i="8"/>
  <c r="E2508" i="8"/>
  <c r="E2509" i="8"/>
  <c r="E2510" i="8"/>
  <c r="E2511" i="8"/>
  <c r="E2512" i="8"/>
  <c r="E2513" i="8"/>
  <c r="E2514" i="8"/>
  <c r="E2515" i="8"/>
  <c r="E2516" i="8"/>
  <c r="E2517" i="8"/>
  <c r="E2518" i="8"/>
  <c r="E2519" i="8"/>
  <c r="E2520" i="8"/>
  <c r="E2521" i="8"/>
  <c r="E2522" i="8"/>
  <c r="E2523" i="8"/>
  <c r="E2524" i="8"/>
  <c r="E2525" i="8"/>
  <c r="E2526" i="8"/>
  <c r="E2527" i="8"/>
  <c r="E2528" i="8"/>
  <c r="E2529" i="8"/>
  <c r="E2530" i="8"/>
  <c r="E2531" i="8"/>
  <c r="E2532" i="8"/>
  <c r="E2533" i="8"/>
  <c r="E2534" i="8"/>
  <c r="E2535" i="8"/>
  <c r="E2536" i="8"/>
  <c r="E2537" i="8"/>
  <c r="E2538" i="8"/>
  <c r="E2539" i="8"/>
  <c r="E2540" i="8"/>
  <c r="E2541" i="8"/>
  <c r="E2542" i="8"/>
  <c r="E2543" i="8"/>
  <c r="E2544" i="8"/>
  <c r="E2545" i="8"/>
  <c r="E2546" i="8"/>
  <c r="E2547" i="8"/>
  <c r="E2548" i="8"/>
  <c r="E2549" i="8"/>
  <c r="E2550" i="8"/>
  <c r="E2551" i="8"/>
  <c r="E2552" i="8"/>
  <c r="E2553" i="8"/>
  <c r="E2554" i="8"/>
  <c r="E2555" i="8"/>
  <c r="E2556" i="8"/>
  <c r="E2557" i="8"/>
  <c r="E2558" i="8"/>
  <c r="E2559" i="8"/>
  <c r="E2560" i="8"/>
  <c r="E2561" i="8"/>
  <c r="E2562" i="8"/>
  <c r="E2563" i="8"/>
  <c r="E2564" i="8"/>
  <c r="E2565" i="8"/>
  <c r="E2566" i="8"/>
  <c r="E2567" i="8"/>
  <c r="E2568" i="8"/>
  <c r="E2569" i="8"/>
  <c r="E2570" i="8"/>
  <c r="E2571" i="8"/>
  <c r="E2572" i="8"/>
  <c r="E2573" i="8"/>
  <c r="E2574" i="8"/>
  <c r="E2575" i="8"/>
  <c r="E2576" i="8"/>
  <c r="E2577" i="8"/>
  <c r="E2578" i="8"/>
  <c r="E2579" i="8"/>
  <c r="E2580" i="8"/>
  <c r="E2581" i="8"/>
  <c r="E2582" i="8"/>
  <c r="E2583" i="8"/>
  <c r="E2584" i="8"/>
  <c r="E2585" i="8"/>
  <c r="E2586" i="8"/>
  <c r="E2587" i="8"/>
  <c r="E2588" i="8"/>
  <c r="E2589" i="8"/>
  <c r="E2590" i="8"/>
  <c r="E2591" i="8"/>
  <c r="E2592" i="8"/>
  <c r="E2593" i="8"/>
  <c r="E2594" i="8"/>
  <c r="E2595" i="8"/>
  <c r="E2596" i="8"/>
  <c r="E2597" i="8"/>
  <c r="E2598" i="8"/>
  <c r="E2599" i="8"/>
  <c r="E2600" i="8"/>
  <c r="E2601" i="8"/>
  <c r="E2602" i="8"/>
  <c r="E2603" i="8"/>
  <c r="E2604" i="8"/>
  <c r="E2605" i="8"/>
  <c r="E2606" i="8"/>
  <c r="E2607" i="8"/>
  <c r="E2608" i="8"/>
  <c r="E2609" i="8"/>
  <c r="E2610" i="8"/>
  <c r="E2611" i="8"/>
  <c r="E2612" i="8"/>
  <c r="E2613" i="8"/>
  <c r="E2614" i="8"/>
  <c r="E2615" i="8"/>
  <c r="E2616" i="8"/>
  <c r="E2617" i="8"/>
  <c r="E2618" i="8"/>
  <c r="E2619" i="8"/>
  <c r="E2620" i="8"/>
  <c r="E2621" i="8"/>
  <c r="E2622" i="8"/>
  <c r="E2623" i="8"/>
  <c r="E2624" i="8"/>
  <c r="E2625" i="8"/>
  <c r="E2626" i="8"/>
  <c r="E2627" i="8"/>
  <c r="E2628" i="8"/>
  <c r="E2629" i="8"/>
  <c r="E2630" i="8"/>
  <c r="E2631" i="8"/>
  <c r="E2632" i="8"/>
  <c r="E2633" i="8"/>
  <c r="E2634" i="8"/>
  <c r="E2635" i="8"/>
  <c r="E2636" i="8"/>
  <c r="E2637" i="8"/>
  <c r="E2638" i="8"/>
  <c r="E2639" i="8"/>
  <c r="E2640" i="8"/>
  <c r="E2641" i="8"/>
  <c r="E2642" i="8"/>
  <c r="E2643" i="8"/>
  <c r="E2644" i="8"/>
  <c r="E2645" i="8"/>
  <c r="E2646" i="8"/>
  <c r="E2647" i="8"/>
  <c r="E2648" i="8"/>
  <c r="E2649" i="8"/>
  <c r="E2650" i="8"/>
  <c r="E2651" i="8"/>
  <c r="E2652" i="8"/>
  <c r="E2653" i="8"/>
  <c r="E2654" i="8"/>
  <c r="E2655" i="8"/>
  <c r="E2656" i="8"/>
  <c r="E2657" i="8"/>
  <c r="E2658" i="8"/>
  <c r="E2659" i="8"/>
  <c r="E2660" i="8"/>
  <c r="E2661" i="8"/>
  <c r="E2662" i="8"/>
  <c r="E2663" i="8"/>
  <c r="E2664" i="8"/>
  <c r="E2665" i="8"/>
  <c r="E2666" i="8"/>
  <c r="E2667" i="8"/>
  <c r="E2668" i="8"/>
  <c r="E2669" i="8"/>
  <c r="E2670" i="8"/>
  <c r="E2671" i="8"/>
  <c r="E2672" i="8"/>
  <c r="E2673" i="8"/>
  <c r="E2674" i="8"/>
  <c r="E2675" i="8"/>
  <c r="E2676" i="8"/>
  <c r="E2677" i="8"/>
  <c r="E2678" i="8"/>
  <c r="E2679" i="8"/>
  <c r="E2680" i="8"/>
  <c r="E2681" i="8"/>
  <c r="E2682" i="8"/>
  <c r="E2683" i="8"/>
  <c r="E2684" i="8"/>
  <c r="E2685" i="8"/>
  <c r="E2686" i="8"/>
  <c r="E2687" i="8"/>
  <c r="E2688" i="8"/>
  <c r="E2689" i="8"/>
  <c r="E2690" i="8"/>
  <c r="E2691" i="8"/>
  <c r="E2692" i="8"/>
  <c r="E2693" i="8"/>
  <c r="E2694" i="8"/>
  <c r="E2695" i="8"/>
  <c r="E2696" i="8"/>
  <c r="E2697" i="8"/>
  <c r="E2698" i="8"/>
  <c r="E2699" i="8"/>
  <c r="E2700" i="8"/>
  <c r="E2701" i="8"/>
  <c r="E2702" i="8"/>
  <c r="E2703" i="8"/>
  <c r="E2704" i="8"/>
  <c r="E2705" i="8"/>
  <c r="E2706" i="8"/>
  <c r="E2707" i="8"/>
  <c r="E2708" i="8"/>
  <c r="E2709" i="8"/>
  <c r="E2710" i="8"/>
  <c r="E2711" i="8"/>
  <c r="E2712" i="8"/>
  <c r="E2713" i="8"/>
  <c r="E2714" i="8"/>
  <c r="E2715" i="8"/>
  <c r="E2716" i="8"/>
  <c r="E2717" i="8"/>
  <c r="E2718" i="8"/>
  <c r="E2719" i="8"/>
  <c r="E2720" i="8"/>
  <c r="E2721" i="8"/>
  <c r="E2722" i="8"/>
  <c r="E2723" i="8"/>
  <c r="E2724" i="8"/>
  <c r="E2725" i="8"/>
  <c r="E2726" i="8"/>
  <c r="E2727" i="8"/>
  <c r="E2728" i="8"/>
  <c r="E2729" i="8"/>
  <c r="E2730" i="8"/>
  <c r="E2731" i="8"/>
  <c r="E2732" i="8"/>
  <c r="E2733" i="8"/>
  <c r="E2734" i="8"/>
  <c r="E2735" i="8"/>
  <c r="E2736" i="8"/>
  <c r="E2737" i="8"/>
  <c r="E2738" i="8"/>
  <c r="E2739" i="8"/>
  <c r="E2740" i="8"/>
  <c r="E2741" i="8"/>
  <c r="E2742" i="8"/>
  <c r="E2743" i="8"/>
  <c r="E2744" i="8"/>
  <c r="E2745" i="8"/>
  <c r="E2746" i="8"/>
  <c r="E2747" i="8"/>
  <c r="E2748" i="8"/>
  <c r="E2749" i="8"/>
  <c r="E2750" i="8"/>
  <c r="E2751" i="8"/>
  <c r="E2752" i="8"/>
  <c r="E2753" i="8"/>
  <c r="E2754" i="8"/>
  <c r="E2755" i="8"/>
  <c r="E2756" i="8"/>
  <c r="E2757" i="8"/>
  <c r="E2758" i="8"/>
  <c r="E2759" i="8"/>
  <c r="E2760" i="8"/>
  <c r="E2761" i="8"/>
  <c r="E2762" i="8"/>
  <c r="E2763" i="8"/>
  <c r="E2764" i="8"/>
  <c r="E2765" i="8"/>
  <c r="E2766" i="8"/>
  <c r="E2767" i="8"/>
  <c r="E2768" i="8"/>
  <c r="E2769" i="8"/>
  <c r="E2770" i="8"/>
  <c r="E2771" i="8"/>
  <c r="E2772" i="8"/>
  <c r="E2773" i="8"/>
  <c r="E2774" i="8"/>
  <c r="E2775" i="8"/>
  <c r="E2776" i="8"/>
  <c r="E2777" i="8"/>
  <c r="E2778" i="8"/>
  <c r="E2779" i="8"/>
  <c r="E2780" i="8"/>
  <c r="E2781" i="8"/>
  <c r="E2782" i="8"/>
  <c r="E2783" i="8"/>
  <c r="E2784" i="8"/>
  <c r="E2785" i="8"/>
  <c r="E2786" i="8"/>
  <c r="E2787" i="8"/>
  <c r="E2788" i="8"/>
  <c r="E2789" i="8"/>
  <c r="E2790" i="8"/>
  <c r="E2791" i="8"/>
  <c r="E2792" i="8"/>
  <c r="E2793" i="8"/>
  <c r="E2794" i="8"/>
  <c r="E2795" i="8"/>
  <c r="E2796" i="8"/>
  <c r="E2797" i="8"/>
  <c r="E2798" i="8"/>
  <c r="E2799" i="8"/>
  <c r="E2800" i="8"/>
  <c r="E2801" i="8"/>
  <c r="E2802" i="8"/>
  <c r="E2803" i="8"/>
  <c r="E2804" i="8"/>
  <c r="E2805" i="8"/>
  <c r="E2806" i="8"/>
  <c r="E2807" i="8"/>
  <c r="E2808" i="8"/>
  <c r="E2809" i="8"/>
  <c r="E2810" i="8"/>
  <c r="E2811" i="8"/>
  <c r="E2812" i="8"/>
  <c r="E2813" i="8"/>
  <c r="E2814" i="8"/>
  <c r="E2815" i="8"/>
  <c r="E2816" i="8"/>
  <c r="E2817" i="8"/>
  <c r="E2818" i="8"/>
  <c r="E2819" i="8"/>
  <c r="E2820" i="8"/>
  <c r="E2821" i="8"/>
  <c r="E2822" i="8"/>
  <c r="E2823" i="8"/>
  <c r="E2824" i="8"/>
  <c r="E2825" i="8"/>
  <c r="E2826" i="8"/>
  <c r="E2827" i="8"/>
  <c r="E2828" i="8"/>
  <c r="E2829" i="8"/>
  <c r="E2830" i="8"/>
  <c r="E2831" i="8"/>
  <c r="E2832" i="8"/>
  <c r="E2833" i="8"/>
  <c r="E2834" i="8"/>
  <c r="E2835" i="8"/>
  <c r="E2836" i="8"/>
  <c r="E2837" i="8"/>
  <c r="E2838" i="8"/>
  <c r="E2839" i="8"/>
  <c r="E2840" i="8"/>
  <c r="E2841" i="8"/>
  <c r="E2842" i="8"/>
  <c r="E2843" i="8"/>
  <c r="E2844" i="8"/>
  <c r="E2845" i="8"/>
  <c r="E2846" i="8"/>
  <c r="E2847" i="8"/>
  <c r="E2848" i="8"/>
  <c r="E2849" i="8"/>
  <c r="E2850" i="8"/>
  <c r="E2851" i="8"/>
  <c r="E2852" i="8"/>
  <c r="E2853" i="8"/>
  <c r="E2854" i="8"/>
  <c r="E2855" i="8"/>
  <c r="E2856" i="8"/>
  <c r="E2857" i="8"/>
  <c r="E2858" i="8"/>
  <c r="E2859" i="8"/>
  <c r="E2860" i="8"/>
  <c r="E2861" i="8"/>
  <c r="E2862" i="8"/>
  <c r="E2863" i="8"/>
  <c r="E2864" i="8"/>
  <c r="E2865" i="8"/>
  <c r="E2866" i="8"/>
  <c r="E2867" i="8"/>
  <c r="E2868" i="8"/>
  <c r="E2869" i="8"/>
  <c r="E2870" i="8"/>
  <c r="E2871" i="8"/>
  <c r="E2872" i="8"/>
  <c r="E2873" i="8"/>
  <c r="E2874" i="8"/>
  <c r="E2875" i="8"/>
  <c r="E2876" i="8"/>
  <c r="E2877" i="8"/>
  <c r="E2878" i="8"/>
  <c r="E2879" i="8"/>
  <c r="E2880" i="8"/>
  <c r="E2881" i="8"/>
  <c r="E2882" i="8"/>
  <c r="E2883" i="8"/>
  <c r="E2884" i="8"/>
  <c r="E2885" i="8"/>
  <c r="E2886" i="8"/>
  <c r="E2887" i="8"/>
  <c r="E2888" i="8"/>
  <c r="E2889" i="8"/>
  <c r="E2890" i="8"/>
  <c r="E2891" i="8"/>
  <c r="E2892" i="8"/>
  <c r="E2893" i="8"/>
  <c r="E2894" i="8"/>
  <c r="E2895" i="8"/>
  <c r="E2896" i="8"/>
  <c r="E2897" i="8"/>
  <c r="E2898" i="8"/>
  <c r="E2899" i="8"/>
  <c r="E2900" i="8"/>
  <c r="E2901" i="8"/>
  <c r="E2902" i="8"/>
  <c r="E2903" i="8"/>
  <c r="E2904" i="8"/>
  <c r="E2905" i="8"/>
  <c r="E2906" i="8"/>
  <c r="E2907" i="8"/>
  <c r="E2908" i="8"/>
  <c r="E2909" i="8"/>
  <c r="E2910" i="8"/>
  <c r="E2911" i="8"/>
  <c r="E2912" i="8"/>
  <c r="E2913" i="8"/>
  <c r="E2914" i="8"/>
  <c r="E2915" i="8"/>
  <c r="E2916" i="8"/>
  <c r="E2917" i="8"/>
  <c r="E2918" i="8"/>
  <c r="E2919" i="8"/>
  <c r="E2920" i="8"/>
  <c r="E2921" i="8"/>
  <c r="E2922" i="8"/>
  <c r="E2923" i="8"/>
  <c r="E2924" i="8"/>
  <c r="E2925" i="8"/>
  <c r="E2926" i="8"/>
  <c r="E2927" i="8"/>
  <c r="E2928" i="8"/>
  <c r="E2929" i="8"/>
  <c r="E2930" i="8"/>
  <c r="E2931" i="8"/>
  <c r="E2932" i="8"/>
  <c r="E2933" i="8"/>
  <c r="E2934" i="8"/>
  <c r="E2935" i="8"/>
  <c r="E2936" i="8"/>
  <c r="E2937" i="8"/>
  <c r="E2938" i="8"/>
  <c r="E2939" i="8"/>
  <c r="E2940" i="8"/>
  <c r="E2941" i="8"/>
  <c r="E2942" i="8"/>
  <c r="E2943" i="8"/>
  <c r="E2944" i="8"/>
  <c r="E2945" i="8"/>
  <c r="E2946" i="8"/>
  <c r="E2947" i="8"/>
  <c r="E2948" i="8"/>
  <c r="E2949" i="8"/>
  <c r="E2950" i="8"/>
  <c r="E2951" i="8"/>
  <c r="E2952" i="8"/>
  <c r="E2953" i="8"/>
  <c r="E2954" i="8"/>
  <c r="E2955" i="8"/>
  <c r="E2956" i="8"/>
  <c r="E2957" i="8"/>
  <c r="E2958" i="8"/>
  <c r="E2959" i="8"/>
  <c r="E2960" i="8"/>
  <c r="E2961" i="8"/>
  <c r="E2962" i="8"/>
  <c r="E2963" i="8"/>
  <c r="E2964" i="8"/>
  <c r="E2965" i="8"/>
  <c r="E2966" i="8"/>
  <c r="E2967" i="8"/>
  <c r="E2968" i="8"/>
  <c r="E2969" i="8"/>
  <c r="E2970" i="8"/>
  <c r="E2971" i="8"/>
  <c r="E2972" i="8"/>
  <c r="E2973" i="8"/>
  <c r="E2974" i="8"/>
  <c r="E2975" i="8"/>
  <c r="E2976" i="8"/>
  <c r="E2977" i="8"/>
  <c r="E2978" i="8"/>
  <c r="E2979" i="8"/>
  <c r="E2980" i="8"/>
  <c r="E2981" i="8"/>
  <c r="E2982" i="8"/>
  <c r="E2983" i="8"/>
  <c r="E2984" i="8"/>
  <c r="E2985" i="8"/>
  <c r="E2986" i="8"/>
  <c r="E2987" i="8"/>
  <c r="E2988" i="8"/>
  <c r="E2989" i="8"/>
  <c r="E2990" i="8"/>
  <c r="E2991" i="8"/>
  <c r="E2992" i="8"/>
  <c r="E2993" i="8"/>
  <c r="E2994" i="8"/>
  <c r="E2995" i="8"/>
  <c r="E2996" i="8"/>
  <c r="E2997" i="8"/>
  <c r="E2998" i="8"/>
  <c r="E2999" i="8"/>
  <c r="E3000" i="8"/>
  <c r="E3001" i="8"/>
  <c r="E3002" i="8"/>
  <c r="E3003" i="8"/>
  <c r="E3004" i="8"/>
  <c r="E3005" i="8"/>
  <c r="E3006" i="8"/>
  <c r="E3007" i="8"/>
  <c r="E3008" i="8"/>
  <c r="E3009" i="8"/>
  <c r="E3010" i="8"/>
  <c r="E3011" i="8"/>
  <c r="E3012" i="8"/>
  <c r="E3013" i="8"/>
  <c r="E3014" i="8"/>
  <c r="E3015" i="8"/>
  <c r="E3016" i="8"/>
  <c r="E3017" i="8"/>
  <c r="E3018" i="8"/>
  <c r="E3019" i="8"/>
  <c r="E3020" i="8"/>
  <c r="E3021" i="8"/>
  <c r="E3022" i="8"/>
  <c r="E3023" i="8"/>
  <c r="E3024" i="8"/>
  <c r="E3025" i="8"/>
  <c r="E3026" i="8"/>
  <c r="E3027" i="8"/>
  <c r="E3028" i="8"/>
  <c r="E3029" i="8"/>
  <c r="E3030" i="8"/>
  <c r="E3031" i="8"/>
  <c r="E3032" i="8"/>
  <c r="E3033" i="8"/>
  <c r="E3034" i="8"/>
  <c r="E3035" i="8"/>
  <c r="E3036" i="8"/>
  <c r="E3037" i="8"/>
  <c r="E3038" i="8"/>
  <c r="E3039" i="8"/>
  <c r="E3040" i="8"/>
  <c r="E3041" i="8"/>
  <c r="E3042" i="8"/>
  <c r="E3043" i="8"/>
  <c r="E3044" i="8"/>
  <c r="E3045" i="8"/>
  <c r="E3046" i="8"/>
  <c r="E3047" i="8"/>
  <c r="E3048" i="8"/>
  <c r="E3049" i="8"/>
  <c r="E3050" i="8"/>
  <c r="E3051" i="8"/>
  <c r="E3052" i="8"/>
  <c r="E3053" i="8"/>
  <c r="E3054" i="8"/>
  <c r="E3055" i="8"/>
  <c r="E3056" i="8"/>
  <c r="E3057" i="8"/>
  <c r="E3058" i="8"/>
  <c r="E3059" i="8"/>
  <c r="E3060" i="8"/>
  <c r="E3061" i="8"/>
  <c r="E3062" i="8"/>
  <c r="E3063" i="8"/>
  <c r="E3064" i="8"/>
  <c r="E3065" i="8"/>
  <c r="E3066" i="8"/>
  <c r="E3067" i="8"/>
  <c r="E3068" i="8"/>
  <c r="E3069" i="8"/>
  <c r="E3070" i="8"/>
  <c r="E3071" i="8"/>
  <c r="E3072" i="8"/>
  <c r="E3073" i="8"/>
  <c r="E3074" i="8"/>
  <c r="E3075" i="8"/>
  <c r="E3076" i="8"/>
  <c r="E3077" i="8"/>
  <c r="E3078" i="8"/>
  <c r="E3079" i="8"/>
  <c r="E3080" i="8"/>
  <c r="E3081" i="8"/>
  <c r="E3082" i="8"/>
  <c r="E3083" i="8"/>
  <c r="E3084" i="8"/>
  <c r="E3085" i="8"/>
  <c r="E3086" i="8"/>
  <c r="E3087" i="8"/>
  <c r="E3088" i="8"/>
  <c r="E3089" i="8"/>
  <c r="E3090" i="8"/>
  <c r="E3091" i="8"/>
  <c r="E3092" i="8"/>
  <c r="E3093" i="8"/>
  <c r="E3094" i="8"/>
  <c r="E3095" i="8"/>
  <c r="E3096" i="8"/>
  <c r="E3097" i="8"/>
  <c r="E3098" i="8"/>
  <c r="E3099" i="8"/>
  <c r="E3100" i="8"/>
  <c r="E3101" i="8"/>
  <c r="E3102" i="8"/>
  <c r="E3103" i="8"/>
  <c r="E3104" i="8"/>
  <c r="E3105" i="8"/>
  <c r="E3106" i="8"/>
  <c r="E3107" i="8"/>
  <c r="E3108" i="8"/>
  <c r="E3109" i="8"/>
  <c r="E3110" i="8"/>
  <c r="E3111" i="8"/>
  <c r="E3112" i="8"/>
  <c r="E3113" i="8"/>
  <c r="E3114" i="8"/>
  <c r="E3115" i="8"/>
  <c r="E3116" i="8"/>
  <c r="E3117" i="8"/>
  <c r="E3118" i="8"/>
  <c r="E3119" i="8"/>
  <c r="E3120" i="8"/>
  <c r="E3121" i="8"/>
  <c r="E3122" i="8"/>
  <c r="E3123" i="8"/>
  <c r="E3124" i="8"/>
  <c r="E3125" i="8"/>
  <c r="E3126" i="8"/>
  <c r="E3127" i="8"/>
  <c r="E3128" i="8"/>
  <c r="E3129" i="8"/>
  <c r="E3130" i="8"/>
  <c r="E3131" i="8"/>
  <c r="E3132" i="8"/>
  <c r="E3133" i="8"/>
  <c r="E3134" i="8"/>
  <c r="E3135" i="8"/>
  <c r="E3136" i="8"/>
  <c r="E3137" i="8"/>
  <c r="E3138" i="8"/>
  <c r="E3139" i="8"/>
  <c r="E3140" i="8"/>
  <c r="E3141" i="8"/>
  <c r="E3142" i="8"/>
  <c r="E3143" i="8"/>
  <c r="E3144" i="8"/>
  <c r="E3145" i="8"/>
  <c r="E3146" i="8"/>
  <c r="E3147" i="8"/>
  <c r="E3148" i="8"/>
  <c r="E3149" i="8"/>
  <c r="E3150" i="8"/>
  <c r="E3151" i="8"/>
  <c r="E3152" i="8"/>
  <c r="E3153" i="8"/>
  <c r="E3154" i="8"/>
  <c r="E3155" i="8"/>
  <c r="E3156" i="8"/>
  <c r="E3157" i="8"/>
  <c r="E3158" i="8"/>
  <c r="E3159" i="8"/>
  <c r="E3160" i="8"/>
  <c r="E3161" i="8"/>
  <c r="E3162" i="8"/>
  <c r="E3163" i="8"/>
  <c r="E3164" i="8"/>
  <c r="E3165" i="8"/>
  <c r="E3166" i="8"/>
  <c r="E3167" i="8"/>
  <c r="E3168" i="8"/>
  <c r="E3169" i="8"/>
  <c r="E3170" i="8"/>
  <c r="E3171" i="8"/>
  <c r="E3172" i="8"/>
  <c r="E3173" i="8"/>
  <c r="E3174" i="8"/>
  <c r="E3175" i="8"/>
  <c r="E3176" i="8"/>
  <c r="E3177" i="8"/>
  <c r="E3178" i="8"/>
  <c r="E3179" i="8"/>
  <c r="E3180" i="8"/>
  <c r="E3181" i="8"/>
  <c r="E3182" i="8"/>
  <c r="E3183" i="8"/>
  <c r="E3184" i="8"/>
  <c r="E3185" i="8"/>
  <c r="E3186" i="8"/>
  <c r="E3187" i="8"/>
  <c r="E3188" i="8"/>
  <c r="E3189" i="8"/>
  <c r="E3190" i="8"/>
  <c r="E3191" i="8"/>
  <c r="E3192" i="8"/>
  <c r="E3193" i="8"/>
  <c r="E3194" i="8"/>
  <c r="E3195" i="8"/>
  <c r="E3196" i="8"/>
  <c r="E3197" i="8"/>
  <c r="E3198" i="8"/>
  <c r="E3199" i="8"/>
  <c r="E3200" i="8"/>
  <c r="E3201" i="8"/>
  <c r="E3202" i="8"/>
  <c r="E3203" i="8"/>
  <c r="E3204" i="8"/>
  <c r="E3205" i="8"/>
  <c r="E3206" i="8"/>
  <c r="E3207" i="8"/>
  <c r="E3208" i="8"/>
  <c r="E3209" i="8"/>
  <c r="E3210" i="8"/>
  <c r="E3211" i="8"/>
  <c r="E3212" i="8"/>
  <c r="E3213" i="8"/>
  <c r="E3214" i="8"/>
  <c r="E3215" i="8"/>
  <c r="E3216" i="8"/>
  <c r="E3217" i="8"/>
  <c r="E3218" i="8"/>
  <c r="E3219" i="8"/>
  <c r="E3220" i="8"/>
  <c r="E3221" i="8"/>
  <c r="E3222" i="8"/>
  <c r="E3223" i="8"/>
  <c r="E3224" i="8"/>
  <c r="E3225" i="8"/>
  <c r="E3226" i="8"/>
  <c r="E3227" i="8"/>
  <c r="E3228" i="8"/>
  <c r="E3229" i="8"/>
  <c r="E3230" i="8"/>
  <c r="E3231" i="8"/>
  <c r="E3232" i="8"/>
  <c r="E3233" i="8"/>
  <c r="E3234" i="8"/>
  <c r="E3235" i="8"/>
  <c r="E3236" i="8"/>
  <c r="E3237" i="8"/>
  <c r="E3238" i="8"/>
  <c r="E3239" i="8"/>
  <c r="E3240" i="8"/>
  <c r="E3241" i="8"/>
  <c r="E3242" i="8"/>
  <c r="E3243" i="8"/>
  <c r="E3244" i="8"/>
  <c r="E3245" i="8"/>
  <c r="E3246" i="8"/>
  <c r="E3247" i="8"/>
  <c r="E3248" i="8"/>
  <c r="E3249" i="8"/>
  <c r="E3250" i="8"/>
  <c r="E3251" i="8"/>
  <c r="E3252" i="8"/>
  <c r="E3253" i="8"/>
  <c r="E3254" i="8"/>
  <c r="E3255" i="8"/>
  <c r="E3256" i="8"/>
  <c r="E3257" i="8"/>
  <c r="E3258" i="8"/>
  <c r="E3259" i="8"/>
  <c r="E3260" i="8"/>
  <c r="E3261" i="8"/>
  <c r="E3262" i="8"/>
  <c r="E3263" i="8"/>
  <c r="E3264" i="8"/>
  <c r="E3265" i="8"/>
  <c r="E3266" i="8"/>
  <c r="E3267" i="8"/>
  <c r="E3268" i="8"/>
  <c r="E3269" i="8"/>
  <c r="E3270" i="8"/>
  <c r="E3271" i="8"/>
  <c r="E3272" i="8"/>
  <c r="E3273" i="8"/>
  <c r="E3274" i="8"/>
  <c r="E3275" i="8"/>
  <c r="E3276" i="8"/>
  <c r="E3277" i="8"/>
  <c r="E3278" i="8"/>
  <c r="E3279" i="8"/>
  <c r="E3280" i="8"/>
  <c r="E3281" i="8"/>
  <c r="E3282" i="8"/>
  <c r="E3283" i="8"/>
  <c r="E3284" i="8"/>
  <c r="E3285" i="8"/>
  <c r="E3286" i="8"/>
  <c r="E3287" i="8"/>
  <c r="E3288" i="8"/>
  <c r="E3289" i="8"/>
  <c r="E3290" i="8"/>
  <c r="E3291" i="8"/>
  <c r="E3292" i="8"/>
  <c r="E3293" i="8"/>
  <c r="E3294" i="8"/>
  <c r="E3295" i="8"/>
  <c r="E3296" i="8"/>
  <c r="E3297" i="8"/>
  <c r="E3298" i="8"/>
  <c r="E3299" i="8"/>
  <c r="E3300" i="8"/>
  <c r="E3301" i="8"/>
  <c r="E3302" i="8"/>
  <c r="E3303" i="8"/>
  <c r="E3304" i="8"/>
  <c r="E3305" i="8"/>
  <c r="E3306" i="8"/>
  <c r="E3307" i="8"/>
  <c r="E3308" i="8"/>
  <c r="E3309" i="8"/>
  <c r="E3310" i="8"/>
  <c r="E3311" i="8"/>
  <c r="E3312" i="8"/>
  <c r="E3313" i="8"/>
  <c r="E3314" i="8"/>
  <c r="E3315" i="8"/>
  <c r="E3316" i="8"/>
  <c r="E3317" i="8"/>
  <c r="E3318" i="8"/>
  <c r="E3319" i="8"/>
  <c r="E3320" i="8"/>
  <c r="E3321" i="8"/>
  <c r="E3322" i="8"/>
  <c r="E3323" i="8"/>
  <c r="E3324" i="8"/>
  <c r="E3325" i="8"/>
  <c r="E3326" i="8"/>
  <c r="E3327" i="8"/>
  <c r="E3328" i="8"/>
  <c r="E3329" i="8"/>
  <c r="E3330" i="8"/>
  <c r="E3331" i="8"/>
  <c r="E3332" i="8"/>
  <c r="E3333" i="8"/>
  <c r="E3334" i="8"/>
  <c r="E3335" i="8"/>
  <c r="E3336" i="8"/>
  <c r="E3337" i="8"/>
  <c r="E3338" i="8"/>
  <c r="E3339" i="8"/>
  <c r="E3340" i="8"/>
  <c r="E3341" i="8"/>
  <c r="E3342" i="8"/>
  <c r="E3343" i="8"/>
  <c r="E3344" i="8"/>
  <c r="E3345" i="8"/>
  <c r="E3346" i="8"/>
  <c r="E3347" i="8"/>
  <c r="E3348" i="8"/>
  <c r="E3349" i="8"/>
  <c r="E3350" i="8"/>
  <c r="E3351" i="8"/>
  <c r="E3352" i="8"/>
  <c r="E3353" i="8"/>
  <c r="E3354" i="8"/>
  <c r="E3355" i="8"/>
  <c r="E3356" i="8"/>
  <c r="E3357" i="8"/>
  <c r="E3358" i="8"/>
  <c r="E3359" i="8"/>
  <c r="E3360" i="8"/>
  <c r="E3361" i="8"/>
  <c r="E3362" i="8"/>
  <c r="E3363" i="8"/>
  <c r="E3364" i="8"/>
  <c r="E3365" i="8"/>
  <c r="E3366" i="8"/>
  <c r="E3367" i="8"/>
  <c r="E3368" i="8"/>
  <c r="E3369" i="8"/>
  <c r="E3370" i="8"/>
  <c r="E3371" i="8"/>
  <c r="E3372" i="8"/>
  <c r="E3373" i="8"/>
  <c r="E3374" i="8"/>
  <c r="E3375" i="8"/>
  <c r="E3376" i="8"/>
  <c r="E3377" i="8"/>
  <c r="E3378" i="8"/>
  <c r="E3379" i="8"/>
  <c r="E3380" i="8"/>
  <c r="E3381" i="8"/>
  <c r="E3382" i="8"/>
  <c r="E3383" i="8"/>
  <c r="E3384" i="8"/>
  <c r="E3385" i="8"/>
  <c r="E3386" i="8"/>
  <c r="E3387" i="8"/>
  <c r="E3388" i="8"/>
  <c r="E3389" i="8"/>
  <c r="E3390" i="8"/>
  <c r="E3391" i="8"/>
  <c r="E3392" i="8"/>
  <c r="E3393" i="8"/>
  <c r="E3394" i="8"/>
  <c r="E3395" i="8"/>
  <c r="E3396" i="8"/>
  <c r="E3397" i="8"/>
  <c r="E3398" i="8"/>
  <c r="E3399" i="8"/>
  <c r="E3400" i="8"/>
  <c r="E3401" i="8"/>
  <c r="E3402" i="8"/>
  <c r="E3403" i="8"/>
  <c r="E3404" i="8"/>
  <c r="E3405" i="8"/>
  <c r="E3406" i="8"/>
  <c r="E3407" i="8"/>
  <c r="E3408" i="8"/>
  <c r="E3409" i="8"/>
  <c r="E3410" i="8"/>
  <c r="E3411" i="8"/>
  <c r="E3412" i="8"/>
  <c r="E3413" i="8"/>
  <c r="E3414" i="8"/>
  <c r="E3415" i="8"/>
  <c r="E3416" i="8"/>
  <c r="E3417" i="8"/>
  <c r="E3418" i="8"/>
  <c r="E3419" i="8"/>
  <c r="E3420" i="8"/>
  <c r="E3421" i="8"/>
  <c r="E3422" i="8"/>
  <c r="E3423" i="8"/>
  <c r="E3424" i="8"/>
  <c r="E3425" i="8"/>
  <c r="E3426" i="8"/>
  <c r="E3427" i="8"/>
  <c r="E3428" i="8"/>
  <c r="E3429" i="8"/>
  <c r="E3430" i="8"/>
  <c r="E3431" i="8"/>
  <c r="E3432" i="8"/>
  <c r="E3433" i="8"/>
  <c r="E3434" i="8"/>
  <c r="E3435" i="8"/>
  <c r="E3436" i="8"/>
  <c r="E3437" i="8"/>
  <c r="E3438" i="8"/>
  <c r="E3439" i="8"/>
  <c r="E3440" i="8"/>
  <c r="E3441" i="8"/>
  <c r="E3442" i="8"/>
  <c r="E3443" i="8"/>
  <c r="E3444" i="8"/>
  <c r="E3445" i="8"/>
  <c r="E3446" i="8"/>
  <c r="E3447" i="8"/>
  <c r="E3448" i="8"/>
  <c r="E3449" i="8"/>
  <c r="E3450" i="8"/>
  <c r="E3451" i="8"/>
  <c r="E3452" i="8"/>
  <c r="E3453" i="8"/>
  <c r="E3454" i="8"/>
  <c r="E3455" i="8"/>
  <c r="E3456" i="8"/>
  <c r="E3457" i="8"/>
  <c r="E3458" i="8"/>
  <c r="E3459" i="8"/>
  <c r="E3460" i="8"/>
  <c r="E3461" i="8"/>
  <c r="E3462" i="8"/>
  <c r="E3463" i="8"/>
  <c r="E3464" i="8"/>
  <c r="E3465" i="8"/>
  <c r="E3466" i="8"/>
  <c r="E3467" i="8"/>
  <c r="E3468" i="8"/>
  <c r="E3469" i="8"/>
  <c r="E3470" i="8"/>
  <c r="E3471" i="8"/>
  <c r="E3472" i="8"/>
  <c r="E3473" i="8"/>
  <c r="E3474" i="8"/>
  <c r="E3475" i="8"/>
  <c r="E3476" i="8"/>
  <c r="E3477" i="8"/>
  <c r="E3478" i="8"/>
  <c r="E3479" i="8"/>
  <c r="E3480" i="8"/>
  <c r="E3481" i="8"/>
  <c r="E3482" i="8"/>
  <c r="E3483" i="8"/>
  <c r="E3484" i="8"/>
  <c r="E3485" i="8"/>
  <c r="E3486" i="8"/>
  <c r="E3487" i="8"/>
  <c r="E3488" i="8"/>
  <c r="E3489" i="8"/>
  <c r="E3490" i="8"/>
  <c r="E3491" i="8"/>
  <c r="E3492" i="8"/>
  <c r="E3493" i="8"/>
  <c r="E3494" i="8"/>
  <c r="E3495" i="8"/>
  <c r="E3496" i="8"/>
  <c r="E3497" i="8"/>
  <c r="E3498" i="8"/>
  <c r="E3499" i="8"/>
  <c r="E3500" i="8"/>
  <c r="E3501" i="8"/>
  <c r="E3502" i="8"/>
  <c r="E3503" i="8"/>
  <c r="E3504" i="8"/>
  <c r="E3505" i="8"/>
  <c r="E3506" i="8"/>
  <c r="E3507" i="8"/>
  <c r="E3508" i="8"/>
  <c r="E3509" i="8"/>
  <c r="E3510" i="8"/>
  <c r="E3511" i="8"/>
  <c r="E3512" i="8"/>
  <c r="E3513" i="8"/>
  <c r="E3514" i="8"/>
  <c r="E3515" i="8"/>
  <c r="E3516" i="8"/>
  <c r="E3517" i="8"/>
  <c r="E3518" i="8"/>
  <c r="E3519" i="8"/>
  <c r="E3520" i="8"/>
  <c r="E3521" i="8"/>
  <c r="E3522" i="8"/>
  <c r="E3523" i="8"/>
  <c r="E3524" i="8"/>
  <c r="E3525" i="8"/>
  <c r="E3526" i="8"/>
  <c r="E3527" i="8"/>
  <c r="E3528" i="8"/>
  <c r="E3529" i="8"/>
  <c r="E3530" i="8"/>
  <c r="E3531" i="8"/>
  <c r="E3532" i="8"/>
  <c r="E3533" i="8"/>
  <c r="E3534" i="8"/>
  <c r="E3535" i="8"/>
  <c r="E3536" i="8"/>
  <c r="E3537" i="8"/>
  <c r="E3538" i="8"/>
  <c r="E3539" i="8"/>
  <c r="E3540" i="8"/>
  <c r="E3541" i="8"/>
  <c r="E3542" i="8"/>
  <c r="E3543" i="8"/>
  <c r="E3544" i="8"/>
  <c r="E3545" i="8"/>
  <c r="E3546" i="8"/>
  <c r="E3547" i="8"/>
  <c r="E3548" i="8"/>
  <c r="E3549" i="8"/>
  <c r="E3550" i="8"/>
  <c r="E3551" i="8"/>
  <c r="E3552" i="8"/>
  <c r="E3553" i="8"/>
  <c r="E3554" i="8"/>
  <c r="E3555" i="8"/>
  <c r="E3556" i="8"/>
  <c r="E3557" i="8"/>
  <c r="E3558" i="8"/>
  <c r="E3559" i="8"/>
  <c r="E3560" i="8"/>
  <c r="E3561" i="8"/>
  <c r="E3562" i="8"/>
  <c r="E3563" i="8"/>
  <c r="E3564" i="8"/>
  <c r="E3565" i="8"/>
  <c r="E3566" i="8"/>
  <c r="E3567" i="8"/>
  <c r="E3568" i="8"/>
  <c r="E3569" i="8"/>
  <c r="E3570" i="8"/>
  <c r="E3571" i="8"/>
  <c r="E3572" i="8"/>
  <c r="E3573" i="8"/>
  <c r="E3574" i="8"/>
  <c r="E3575" i="8"/>
  <c r="E3576" i="8"/>
  <c r="E3577" i="8"/>
  <c r="E3578" i="8"/>
  <c r="E3579" i="8"/>
  <c r="E3580" i="8"/>
  <c r="E3581" i="8"/>
  <c r="E3582" i="8"/>
  <c r="E3583" i="8"/>
  <c r="E3584" i="8"/>
  <c r="E3585" i="8"/>
  <c r="E3586" i="8"/>
  <c r="E3587" i="8"/>
  <c r="E3588" i="8"/>
  <c r="E3589" i="8"/>
  <c r="E3590" i="8"/>
  <c r="E3591" i="8"/>
  <c r="E3592" i="8"/>
  <c r="E3593" i="8"/>
  <c r="E3594" i="8"/>
  <c r="E3595" i="8"/>
  <c r="E3596" i="8"/>
  <c r="E3597" i="8"/>
  <c r="E3598" i="8"/>
  <c r="E3599" i="8"/>
  <c r="E3600" i="8"/>
  <c r="E3601" i="8"/>
  <c r="E3602" i="8"/>
  <c r="E3603" i="8"/>
  <c r="E3604" i="8"/>
  <c r="E3605" i="8"/>
  <c r="E3606" i="8"/>
  <c r="E3607" i="8"/>
  <c r="E3608" i="8"/>
  <c r="E3609" i="8"/>
  <c r="E3610" i="8"/>
  <c r="E3611" i="8"/>
  <c r="E3612" i="8"/>
  <c r="E3613" i="8"/>
  <c r="E3614" i="8"/>
  <c r="E3615" i="8"/>
  <c r="E3616" i="8"/>
  <c r="E3617" i="8"/>
  <c r="E3618" i="8"/>
  <c r="E3619" i="8"/>
  <c r="E3620" i="8"/>
  <c r="E3621" i="8"/>
  <c r="E3622" i="8"/>
  <c r="E3623" i="8"/>
  <c r="E3624" i="8"/>
  <c r="E3625" i="8"/>
  <c r="E3626" i="8"/>
  <c r="E3627" i="8"/>
  <c r="E3628" i="8"/>
  <c r="E3629" i="8"/>
  <c r="E3630" i="8"/>
  <c r="E3631" i="8"/>
  <c r="E3632" i="8"/>
  <c r="E3633" i="8"/>
  <c r="E3634" i="8"/>
  <c r="E3635" i="8"/>
  <c r="E3636" i="8"/>
  <c r="E3637" i="8"/>
  <c r="E3638" i="8"/>
  <c r="E3639" i="8"/>
  <c r="E3640" i="8"/>
  <c r="E3641" i="8"/>
  <c r="E3642" i="8"/>
  <c r="E3643" i="8"/>
  <c r="E3644" i="8"/>
  <c r="E3645" i="8"/>
  <c r="E3646" i="8"/>
  <c r="E3647" i="8"/>
  <c r="E3648" i="8"/>
  <c r="E3649" i="8"/>
  <c r="E3650" i="8"/>
  <c r="E3651" i="8"/>
  <c r="E3652" i="8"/>
  <c r="E3653" i="8"/>
  <c r="E3654" i="8"/>
  <c r="E3655" i="8"/>
  <c r="E3656" i="8"/>
  <c r="E3657" i="8"/>
  <c r="E3658" i="8"/>
  <c r="E3659" i="8"/>
  <c r="E3660" i="8"/>
  <c r="E3661" i="8"/>
  <c r="E3662" i="8"/>
  <c r="E3663" i="8"/>
  <c r="E3664" i="8"/>
  <c r="E3665" i="8"/>
  <c r="E3666" i="8"/>
  <c r="E3667" i="8"/>
  <c r="E3668" i="8"/>
  <c r="E3669" i="8"/>
  <c r="E3670" i="8"/>
  <c r="E3671" i="8"/>
  <c r="E3672" i="8"/>
  <c r="E3673" i="8"/>
  <c r="E3674" i="8"/>
  <c r="E3675" i="8"/>
  <c r="E3676" i="8"/>
  <c r="E3677" i="8"/>
  <c r="E3678" i="8"/>
  <c r="E3679" i="8"/>
  <c r="E3680" i="8"/>
  <c r="E3681" i="8"/>
  <c r="E3682" i="8"/>
  <c r="E3683" i="8"/>
  <c r="E3684" i="8"/>
  <c r="E3685" i="8"/>
  <c r="E3686" i="8"/>
  <c r="E3687" i="8"/>
  <c r="E3688" i="8"/>
  <c r="E3689" i="8"/>
  <c r="E3690" i="8"/>
  <c r="E3691" i="8"/>
  <c r="E3692" i="8"/>
  <c r="E3693" i="8"/>
  <c r="E3694" i="8"/>
  <c r="E3695" i="8"/>
  <c r="E3696" i="8"/>
  <c r="E3697" i="8"/>
  <c r="E3698" i="8"/>
  <c r="E3699" i="8"/>
  <c r="E3700" i="8"/>
  <c r="E3701" i="8"/>
  <c r="E3702" i="8"/>
  <c r="E3703" i="8"/>
  <c r="E3704" i="8"/>
  <c r="E3705" i="8"/>
  <c r="E3706" i="8"/>
  <c r="E3707" i="8"/>
  <c r="E3708" i="8"/>
  <c r="E3709" i="8"/>
  <c r="E3710" i="8"/>
  <c r="E3711" i="8"/>
  <c r="E3712" i="8"/>
  <c r="E3713" i="8"/>
  <c r="E3714" i="8"/>
  <c r="E3715" i="8"/>
  <c r="E3716" i="8"/>
  <c r="E3717" i="8"/>
  <c r="E3718" i="8"/>
  <c r="E3719" i="8"/>
  <c r="E3720" i="8"/>
  <c r="E3721" i="8"/>
  <c r="E3722" i="8"/>
  <c r="E3723" i="8"/>
  <c r="E3724" i="8"/>
  <c r="E3725" i="8"/>
  <c r="E3726" i="8"/>
  <c r="E3727" i="8"/>
  <c r="E3728" i="8"/>
  <c r="E3729" i="8"/>
  <c r="E3730" i="8"/>
  <c r="E3731" i="8"/>
  <c r="E3732" i="8"/>
  <c r="E3733" i="8"/>
  <c r="E3734" i="8"/>
  <c r="E3735" i="8"/>
  <c r="E3736" i="8"/>
  <c r="E3737" i="8"/>
  <c r="E3738" i="8"/>
  <c r="E3739" i="8"/>
  <c r="E3740" i="8"/>
  <c r="E3741" i="8"/>
  <c r="E3742" i="8"/>
  <c r="E3743" i="8"/>
  <c r="E3744" i="8"/>
  <c r="E3745" i="8"/>
  <c r="E3746" i="8"/>
  <c r="E3747" i="8"/>
  <c r="E3748" i="8"/>
  <c r="E3749" i="8"/>
  <c r="E3750" i="8"/>
  <c r="E3751" i="8"/>
  <c r="E3752" i="8"/>
  <c r="E3753" i="8"/>
  <c r="E3754" i="8"/>
  <c r="E3755" i="8"/>
  <c r="E3756" i="8"/>
  <c r="E3757" i="8"/>
  <c r="E3758" i="8"/>
  <c r="E3759" i="8"/>
  <c r="E3760" i="8"/>
  <c r="E3761" i="8"/>
  <c r="E3762" i="8"/>
  <c r="E3763" i="8"/>
  <c r="E3764" i="8"/>
  <c r="E3765" i="8"/>
  <c r="E3766" i="8"/>
  <c r="E3767" i="8"/>
  <c r="E3768" i="8"/>
  <c r="E3769" i="8"/>
  <c r="E3770" i="8"/>
  <c r="E3771" i="8"/>
  <c r="E3772" i="8"/>
  <c r="E3773" i="8"/>
  <c r="E3774" i="8"/>
  <c r="E3775" i="8"/>
  <c r="E3776" i="8"/>
  <c r="E3777" i="8"/>
  <c r="E3778" i="8"/>
  <c r="E3779" i="8"/>
  <c r="E3780" i="8"/>
  <c r="E3781" i="8"/>
  <c r="E3782" i="8"/>
  <c r="E3783" i="8"/>
  <c r="E3784" i="8"/>
  <c r="E3785" i="8"/>
  <c r="E3786" i="8"/>
  <c r="E3787" i="8"/>
  <c r="E3788" i="8"/>
  <c r="E3789" i="8"/>
  <c r="E3790" i="8"/>
  <c r="E3791" i="8"/>
  <c r="E3792" i="8"/>
  <c r="E3793" i="8"/>
  <c r="E3794" i="8"/>
  <c r="E3795" i="8"/>
  <c r="E3796" i="8"/>
  <c r="E3797" i="8"/>
  <c r="E3798" i="8"/>
  <c r="E3799" i="8"/>
  <c r="E3800" i="8"/>
  <c r="E3801" i="8"/>
  <c r="E3802" i="8"/>
  <c r="E3803" i="8"/>
  <c r="E3804" i="8"/>
  <c r="E3805" i="8"/>
  <c r="E3806" i="8"/>
  <c r="E3807" i="8"/>
  <c r="E3808" i="8"/>
  <c r="E3809" i="8"/>
  <c r="E3810" i="8"/>
  <c r="E3811" i="8"/>
  <c r="E3812" i="8"/>
  <c r="E3813" i="8"/>
  <c r="E3814" i="8"/>
  <c r="E3815" i="8"/>
  <c r="E3816" i="8"/>
  <c r="E3817" i="8"/>
  <c r="E3818" i="8"/>
  <c r="E3819" i="8"/>
  <c r="E3820" i="8"/>
  <c r="E3821" i="8"/>
  <c r="E3822" i="8"/>
  <c r="E3823" i="8"/>
  <c r="E3824" i="8"/>
  <c r="E3825" i="8"/>
  <c r="E3826" i="8"/>
  <c r="E3827" i="8"/>
  <c r="E3828" i="8"/>
  <c r="E3829" i="8"/>
  <c r="E3830" i="8"/>
  <c r="E3831" i="8"/>
  <c r="E3832" i="8"/>
  <c r="E3833" i="8"/>
  <c r="E3834" i="8"/>
  <c r="E3835" i="8"/>
  <c r="E3836" i="8"/>
  <c r="E3837" i="8"/>
  <c r="E3838" i="8"/>
  <c r="E3839" i="8"/>
  <c r="E3840" i="8"/>
  <c r="E3841" i="8"/>
  <c r="E3842" i="8"/>
  <c r="E3843" i="8"/>
  <c r="E3844" i="8"/>
  <c r="E3845" i="8"/>
  <c r="E3846" i="8"/>
  <c r="E3847" i="8"/>
  <c r="E3848" i="8"/>
  <c r="E3849" i="8"/>
  <c r="E3850" i="8"/>
  <c r="E3851" i="8"/>
  <c r="E3852" i="8"/>
  <c r="E3853" i="8"/>
  <c r="E3854" i="8"/>
  <c r="E3855" i="8"/>
  <c r="E3856" i="8"/>
  <c r="E3857" i="8"/>
  <c r="E3858" i="8"/>
  <c r="E3859" i="8"/>
  <c r="E3860" i="8"/>
  <c r="E3861" i="8"/>
  <c r="E3862" i="8"/>
  <c r="E3863" i="8"/>
  <c r="E3864" i="8"/>
  <c r="E3865" i="8"/>
  <c r="E3866" i="8"/>
  <c r="E3867" i="8"/>
  <c r="E3868" i="8"/>
  <c r="E3869" i="8"/>
  <c r="E3870" i="8"/>
  <c r="E3871" i="8"/>
  <c r="E3872" i="8"/>
  <c r="E3873" i="8"/>
  <c r="E3874" i="8"/>
  <c r="E3875" i="8"/>
  <c r="E3876" i="8"/>
  <c r="E3877" i="8"/>
  <c r="E3878" i="8"/>
  <c r="E3879" i="8"/>
  <c r="E3880" i="8"/>
  <c r="E3881" i="8"/>
  <c r="E3882" i="8"/>
  <c r="E3883" i="8"/>
  <c r="E3884" i="8"/>
  <c r="E3885" i="8"/>
  <c r="E3886" i="8"/>
  <c r="E3887" i="8"/>
  <c r="E3888" i="8"/>
  <c r="E3889" i="8"/>
  <c r="E3890" i="8"/>
  <c r="E3891" i="8"/>
  <c r="E3892" i="8"/>
  <c r="E3893" i="8"/>
  <c r="E3894" i="8"/>
  <c r="E3895" i="8"/>
  <c r="E3896" i="8"/>
  <c r="E3897" i="8"/>
  <c r="E3898" i="8"/>
  <c r="E3899" i="8"/>
  <c r="E3900" i="8"/>
  <c r="E3901" i="8"/>
  <c r="E3902" i="8"/>
  <c r="E3903" i="8"/>
  <c r="E3904" i="8"/>
  <c r="E3905" i="8"/>
  <c r="E3906" i="8"/>
  <c r="E3907" i="8"/>
  <c r="E3908" i="8"/>
  <c r="E3909" i="8"/>
  <c r="E3910" i="8"/>
  <c r="E3911" i="8"/>
  <c r="E3912" i="8"/>
  <c r="E3913" i="8"/>
  <c r="E3914" i="8"/>
  <c r="E3915" i="8"/>
  <c r="E3916" i="8"/>
  <c r="E3917" i="8"/>
  <c r="E3918" i="8"/>
  <c r="E3919" i="8"/>
  <c r="E3920" i="8"/>
  <c r="E3921" i="8"/>
  <c r="E3922" i="8"/>
  <c r="E3923" i="8"/>
  <c r="E3924" i="8"/>
  <c r="E3925" i="8"/>
  <c r="E3926" i="8"/>
  <c r="E3927" i="8"/>
  <c r="E3928" i="8"/>
  <c r="E3929" i="8"/>
  <c r="E3930" i="8"/>
  <c r="E3931" i="8"/>
  <c r="E3932" i="8"/>
  <c r="E3933" i="8"/>
  <c r="E3934" i="8"/>
  <c r="E3935" i="8"/>
  <c r="E3936" i="8"/>
  <c r="E3937" i="8"/>
  <c r="E3938" i="8"/>
  <c r="E3939" i="8"/>
  <c r="E3940" i="8"/>
  <c r="E3941" i="8"/>
  <c r="E3942" i="8"/>
  <c r="E3943" i="8"/>
  <c r="E3944" i="8"/>
  <c r="E3945" i="8"/>
  <c r="E3946" i="8"/>
  <c r="E3947" i="8"/>
  <c r="E3948" i="8"/>
  <c r="E3949" i="8"/>
  <c r="E3950" i="8"/>
  <c r="E3951" i="8"/>
  <c r="E3952" i="8"/>
  <c r="E3953" i="8"/>
  <c r="E3954" i="8"/>
  <c r="E3955" i="8"/>
  <c r="E3956" i="8"/>
  <c r="E3957" i="8"/>
  <c r="E3958" i="8"/>
  <c r="E3959" i="8"/>
  <c r="E3960" i="8"/>
  <c r="E3961" i="8"/>
  <c r="E3962" i="8"/>
  <c r="E3963" i="8"/>
  <c r="E3964" i="8"/>
  <c r="E3965" i="8"/>
  <c r="E3966" i="8"/>
  <c r="E3967" i="8"/>
  <c r="E3968" i="8"/>
  <c r="E3969" i="8"/>
  <c r="E3970" i="8"/>
  <c r="E3971" i="8"/>
  <c r="E3972" i="8"/>
  <c r="E3973" i="8"/>
  <c r="E3974" i="8"/>
  <c r="E3975" i="8"/>
  <c r="E3976" i="8"/>
  <c r="E3977" i="8"/>
  <c r="E3978" i="8"/>
  <c r="E3979" i="8"/>
  <c r="E3980" i="8"/>
  <c r="E3981" i="8"/>
  <c r="E3982" i="8"/>
  <c r="E3983" i="8"/>
  <c r="E3984" i="8"/>
  <c r="E3985" i="8"/>
  <c r="E3986" i="8"/>
  <c r="E3987" i="8"/>
  <c r="E3988" i="8"/>
  <c r="E3989" i="8"/>
  <c r="E3990" i="8"/>
  <c r="E3991" i="8"/>
  <c r="E3992" i="8"/>
  <c r="E3993" i="8"/>
  <c r="E3994" i="8"/>
  <c r="E3995" i="8"/>
  <c r="E3996" i="8"/>
  <c r="E3997" i="8"/>
  <c r="E3998" i="8"/>
  <c r="E3999" i="8"/>
  <c r="E4000" i="8"/>
  <c r="E4001" i="8"/>
  <c r="E4002" i="8"/>
  <c r="E4003" i="8"/>
  <c r="E4004" i="8"/>
  <c r="E4005" i="8"/>
  <c r="E4006" i="8"/>
  <c r="E4007" i="8"/>
  <c r="E4008" i="8"/>
  <c r="E4009" i="8"/>
  <c r="E4010" i="8"/>
  <c r="E4011" i="8"/>
  <c r="E4012" i="8"/>
  <c r="E4013" i="8"/>
  <c r="E4014" i="8"/>
  <c r="E4015" i="8"/>
  <c r="E4016" i="8"/>
  <c r="E4017" i="8"/>
  <c r="E4018" i="8"/>
  <c r="E4019" i="8"/>
  <c r="E4020" i="8"/>
  <c r="E4021" i="8"/>
  <c r="E4022" i="8"/>
  <c r="E4023" i="8"/>
  <c r="E4024" i="8"/>
  <c r="E4025" i="8"/>
  <c r="E4026" i="8"/>
  <c r="E4027" i="8"/>
  <c r="E4028" i="8"/>
  <c r="E4029" i="8"/>
  <c r="E4030" i="8"/>
  <c r="E4031" i="8"/>
  <c r="E4032" i="8"/>
  <c r="E4033" i="8"/>
  <c r="E4034" i="8"/>
  <c r="E4035" i="8"/>
  <c r="E4036" i="8"/>
  <c r="E4037" i="8"/>
  <c r="E4038" i="8"/>
  <c r="E4039" i="8"/>
  <c r="E4040" i="8"/>
  <c r="E4041" i="8"/>
  <c r="E4042" i="8"/>
  <c r="E4043" i="8"/>
  <c r="E4044" i="8"/>
  <c r="E4045" i="8"/>
  <c r="E4046" i="8"/>
  <c r="E4047" i="8"/>
  <c r="E4048" i="8"/>
  <c r="E4049" i="8"/>
  <c r="E4050" i="8"/>
  <c r="E4051" i="8"/>
  <c r="E4052" i="8"/>
  <c r="E4053" i="8"/>
  <c r="E4054" i="8"/>
  <c r="E4055" i="8"/>
  <c r="E4056" i="8"/>
  <c r="E4057" i="8"/>
  <c r="E4058" i="8"/>
  <c r="E4059" i="8"/>
  <c r="E4060" i="8"/>
  <c r="E4061" i="8"/>
  <c r="E4062" i="8"/>
  <c r="E4063" i="8"/>
  <c r="E4064" i="8"/>
  <c r="E4065" i="8"/>
  <c r="E4066" i="8"/>
  <c r="E4067" i="8"/>
  <c r="E4068" i="8"/>
  <c r="E4069" i="8"/>
  <c r="E4070" i="8"/>
  <c r="E4071" i="8"/>
  <c r="E4072" i="8"/>
  <c r="E4073" i="8"/>
  <c r="E4074" i="8"/>
  <c r="E4075" i="8"/>
  <c r="E4076" i="8"/>
  <c r="E4077" i="8"/>
  <c r="E4078" i="8"/>
  <c r="E4079" i="8"/>
  <c r="E4080" i="8"/>
  <c r="E4081" i="8"/>
  <c r="E4082" i="8"/>
  <c r="E4083" i="8"/>
  <c r="E4084" i="8"/>
  <c r="E4085" i="8"/>
  <c r="E4086" i="8"/>
  <c r="E4087" i="8"/>
  <c r="E4088" i="8"/>
  <c r="E4089" i="8"/>
  <c r="E4090" i="8"/>
  <c r="E4091" i="8"/>
  <c r="E4092" i="8"/>
  <c r="E4093" i="8"/>
  <c r="E4094" i="8"/>
  <c r="E4095" i="8"/>
  <c r="E4096" i="8"/>
  <c r="E4097" i="8"/>
  <c r="E4098" i="8"/>
  <c r="E4099" i="8"/>
  <c r="E4100" i="8"/>
  <c r="E4101" i="8"/>
  <c r="E4102" i="8"/>
  <c r="E4103" i="8"/>
  <c r="E4104" i="8"/>
  <c r="E4105" i="8"/>
  <c r="E4106" i="8"/>
  <c r="E4107" i="8"/>
  <c r="E4108" i="8"/>
  <c r="E4109" i="8"/>
  <c r="E4110" i="8"/>
  <c r="E4111" i="8"/>
  <c r="E4112" i="8"/>
  <c r="E4113" i="8"/>
  <c r="E4114" i="8"/>
  <c r="E4115" i="8"/>
  <c r="E4116" i="8"/>
  <c r="E4117" i="8"/>
  <c r="E4118" i="8"/>
  <c r="E4119" i="8"/>
  <c r="E4120" i="8"/>
  <c r="E4121" i="8"/>
  <c r="E4122" i="8"/>
  <c r="E4123" i="8"/>
  <c r="E4124" i="8"/>
  <c r="E4125" i="8"/>
  <c r="E4126" i="8"/>
  <c r="E4127" i="8"/>
  <c r="E4128" i="8"/>
  <c r="E4129" i="8"/>
  <c r="E4130" i="8"/>
  <c r="E4131" i="8"/>
  <c r="E4132" i="8"/>
  <c r="E4133" i="8"/>
  <c r="E4134" i="8"/>
  <c r="E4135" i="8"/>
  <c r="E4136" i="8"/>
  <c r="E4137" i="8"/>
  <c r="E4138" i="8"/>
  <c r="E4139" i="8"/>
  <c r="E4140" i="8"/>
  <c r="E4141" i="8"/>
  <c r="E4142" i="8"/>
  <c r="E4143" i="8"/>
  <c r="E4144" i="8"/>
  <c r="E4145" i="8"/>
  <c r="E4146" i="8"/>
  <c r="E4147" i="8"/>
  <c r="E4148" i="8"/>
  <c r="E4149" i="8"/>
  <c r="E4150" i="8"/>
  <c r="E4151" i="8"/>
  <c r="E4152" i="8"/>
  <c r="E4153" i="8"/>
  <c r="E4154" i="8"/>
  <c r="E4155" i="8"/>
  <c r="E4156" i="8"/>
  <c r="E4157" i="8"/>
  <c r="E4158" i="8"/>
  <c r="E4159" i="8"/>
  <c r="E4160" i="8"/>
  <c r="C4178" i="8"/>
  <c r="E4179" i="8"/>
  <c r="E4182" i="8"/>
  <c r="BZ8" i="6"/>
  <c r="BY10" i="6"/>
  <c r="BZ17" i="6"/>
  <c r="BZ18" i="6"/>
  <c r="BZ19" i="6"/>
  <c r="BZ20" i="6"/>
  <c r="BZ21" i="6"/>
  <c r="BZ22" i="6"/>
  <c r="BZ26" i="6"/>
  <c r="BZ27" i="6"/>
  <c r="BZ28" i="6"/>
  <c r="BZ33" i="6"/>
  <c r="BZ34" i="6"/>
  <c r="BZ35" i="6"/>
  <c r="BZ36" i="6"/>
  <c r="BZ38" i="6"/>
  <c r="BZ39" i="6"/>
  <c r="BZ43" i="6"/>
  <c r="BZ44" i="6"/>
  <c r="BZ45" i="6"/>
  <c r="BZ46" i="6"/>
  <c r="BZ47" i="6"/>
  <c r="BZ48" i="6"/>
  <c r="BZ49" i="6"/>
  <c r="BZ52" i="6"/>
  <c r="BZ53" i="6"/>
  <c r="BZ54" i="6"/>
  <c r="CB54" i="6" s="1"/>
  <c r="BZ55" i="6"/>
  <c r="BZ58" i="6"/>
  <c r="BZ59" i="6"/>
  <c r="BZ60" i="6"/>
  <c r="CB60" i="6" s="1"/>
  <c r="BZ61" i="6"/>
  <c r="BZ62" i="6"/>
  <c r="AV2" i="4"/>
  <c r="AV3" i="4"/>
  <c r="AV4" i="4"/>
  <c r="AV5" i="4"/>
  <c r="AV6" i="4"/>
  <c r="AV7" i="4"/>
  <c r="AV8" i="4"/>
  <c r="AV9" i="4"/>
  <c r="AV10" i="4"/>
  <c r="AV11" i="4"/>
  <c r="AV12" i="4"/>
  <c r="AV13" i="4"/>
  <c r="AV14" i="4"/>
  <c r="AV15" i="4"/>
  <c r="AV16" i="4"/>
  <c r="AV17" i="4"/>
  <c r="B18" i="4"/>
  <c r="C18" i="4"/>
  <c r="D18" i="4"/>
  <c r="E18" i="4"/>
  <c r="F18" i="4"/>
  <c r="G18" i="4"/>
  <c r="H18" i="4"/>
  <c r="I18" i="4"/>
  <c r="J18" i="4"/>
  <c r="L18" i="4"/>
  <c r="M18" i="4"/>
  <c r="N18" i="4"/>
  <c r="O18" i="4"/>
  <c r="P18" i="4"/>
  <c r="Q18" i="4"/>
  <c r="R18" i="4"/>
  <c r="S18" i="4"/>
  <c r="T18" i="4"/>
  <c r="U18" i="4"/>
  <c r="V18" i="4"/>
  <c r="AV18" i="4"/>
  <c r="AV19" i="4"/>
  <c r="AV20" i="4"/>
  <c r="AV21" i="4"/>
  <c r="AV22" i="4"/>
  <c r="AV23" i="4"/>
  <c r="B24" i="4"/>
  <c r="C24" i="4"/>
  <c r="D24" i="4"/>
  <c r="E24" i="4"/>
  <c r="F24" i="4"/>
  <c r="G24" i="4"/>
  <c r="H24" i="4"/>
  <c r="I24" i="4"/>
  <c r="J24" i="4"/>
  <c r="L24" i="4"/>
  <c r="M24" i="4"/>
  <c r="N24" i="4"/>
  <c r="O24" i="4"/>
  <c r="P24" i="4"/>
  <c r="Q24" i="4"/>
  <c r="R24" i="4"/>
  <c r="S24" i="4"/>
  <c r="T24" i="4"/>
  <c r="U24" i="4"/>
  <c r="V24" i="4"/>
  <c r="AV24" i="4"/>
  <c r="AV25" i="4"/>
  <c r="AV26" i="4"/>
  <c r="AV27" i="4"/>
  <c r="AV28" i="4"/>
  <c r="AV29" i="4"/>
  <c r="AV30" i="4"/>
  <c r="AV31" i="4"/>
  <c r="B32" i="4"/>
  <c r="C32" i="4"/>
  <c r="D32" i="4"/>
  <c r="E32" i="4"/>
  <c r="F32" i="4"/>
  <c r="G32" i="4"/>
  <c r="H32" i="4"/>
  <c r="I32" i="4"/>
  <c r="J32" i="4"/>
  <c r="L32" i="4"/>
  <c r="M32" i="4"/>
  <c r="N32" i="4"/>
  <c r="O32" i="4"/>
  <c r="P32" i="4"/>
  <c r="Q32" i="4"/>
  <c r="R32" i="4"/>
  <c r="S32" i="4"/>
  <c r="T32" i="4"/>
  <c r="U32" i="4"/>
  <c r="V32" i="4"/>
  <c r="AV32" i="4"/>
  <c r="AV33" i="4"/>
  <c r="AV34" i="4"/>
  <c r="AV35" i="4"/>
  <c r="AV36" i="4"/>
  <c r="AV37" i="4"/>
  <c r="AV38" i="4"/>
  <c r="AV39" i="4"/>
  <c r="AU2" i="3"/>
  <c r="AU3" i="3"/>
  <c r="AU4" i="3"/>
  <c r="AU5" i="3"/>
  <c r="AU6" i="3"/>
  <c r="B7" i="3"/>
  <c r="C7" i="3"/>
  <c r="D7" i="3"/>
  <c r="E7" i="3"/>
  <c r="F7" i="3"/>
  <c r="G7" i="3"/>
  <c r="H7" i="3"/>
  <c r="I7" i="3"/>
  <c r="K7" i="3"/>
  <c r="L7" i="3"/>
  <c r="M7" i="3"/>
  <c r="N7" i="3"/>
  <c r="O7" i="3"/>
  <c r="P7" i="3"/>
  <c r="Q7" i="3"/>
  <c r="R7" i="3"/>
  <c r="S7" i="3"/>
  <c r="T7" i="3"/>
  <c r="U7" i="3"/>
  <c r="W7" i="3"/>
  <c r="X7" i="3"/>
  <c r="Y7" i="3"/>
  <c r="Z7" i="3"/>
  <c r="AA7" i="3"/>
  <c r="AB7" i="3"/>
  <c r="AC7" i="3"/>
  <c r="AD7" i="3"/>
  <c r="AE7" i="3"/>
  <c r="AG7" i="3"/>
  <c r="AH7" i="3"/>
  <c r="AI7" i="3"/>
  <c r="AJ7" i="3"/>
  <c r="AK7" i="3"/>
  <c r="AL7" i="3"/>
  <c r="AM7" i="3"/>
  <c r="AN7" i="3"/>
  <c r="AP7" i="3"/>
  <c r="AQ7" i="3"/>
  <c r="AR7" i="3"/>
  <c r="AS7" i="3"/>
  <c r="AT7" i="3"/>
  <c r="AU7" i="3"/>
  <c r="AU8" i="3"/>
  <c r="AU9" i="3"/>
  <c r="AU10" i="3"/>
  <c r="AU11" i="3"/>
  <c r="AU12" i="3"/>
  <c r="AU13" i="3"/>
  <c r="AU14" i="3"/>
  <c r="AU15" i="3"/>
  <c r="AU16" i="3"/>
  <c r="AU17" i="3"/>
  <c r="B18" i="3"/>
  <c r="C18" i="3"/>
  <c r="D18" i="3"/>
  <c r="E18" i="3"/>
  <c r="F18" i="3"/>
  <c r="G18" i="3"/>
  <c r="H18" i="3"/>
  <c r="I18" i="3"/>
  <c r="K18" i="3"/>
  <c r="L18" i="3"/>
  <c r="M18" i="3"/>
  <c r="N18" i="3"/>
  <c r="O18" i="3"/>
  <c r="P18" i="3"/>
  <c r="Q18" i="3"/>
  <c r="R18" i="3"/>
  <c r="S18" i="3"/>
  <c r="T18" i="3"/>
  <c r="U18" i="3"/>
  <c r="W18" i="3"/>
  <c r="W24" i="3" s="1"/>
  <c r="W26" i="3" s="1"/>
  <c r="X18" i="3"/>
  <c r="Y18" i="3"/>
  <c r="Z18" i="3"/>
  <c r="AA18" i="3"/>
  <c r="AB18" i="3"/>
  <c r="AC18" i="3"/>
  <c r="AD18" i="3"/>
  <c r="AE18" i="3"/>
  <c r="AG18" i="3"/>
  <c r="AH18" i="3"/>
  <c r="AI18" i="3"/>
  <c r="AJ18" i="3"/>
  <c r="AK18" i="3"/>
  <c r="AL18" i="3"/>
  <c r="AM18" i="3"/>
  <c r="AN18" i="3"/>
  <c r="AP18" i="3"/>
  <c r="AQ18" i="3"/>
  <c r="AR18" i="3"/>
  <c r="AR24" i="3" s="1"/>
  <c r="AR26" i="3" s="1"/>
  <c r="AS18" i="3"/>
  <c r="AS24" i="3" s="1"/>
  <c r="AS26" i="3" s="1"/>
  <c r="AS32" i="3" s="1"/>
  <c r="AT18" i="3"/>
  <c r="AU18" i="3"/>
  <c r="AU19" i="3"/>
  <c r="AU20" i="3"/>
  <c r="AU21" i="3"/>
  <c r="AU22" i="3"/>
  <c r="AU23" i="3"/>
  <c r="B24" i="3"/>
  <c r="B26" i="3" s="1"/>
  <c r="B32" i="3" s="1"/>
  <c r="B40" i="3" s="1"/>
  <c r="C24" i="3"/>
  <c r="D24" i="3"/>
  <c r="E24" i="3"/>
  <c r="F24" i="3"/>
  <c r="G24" i="3"/>
  <c r="H24" i="3"/>
  <c r="I24" i="3"/>
  <c r="K24" i="3"/>
  <c r="K26" i="3" s="1"/>
  <c r="K32" i="3" s="1"/>
  <c r="K40" i="3" s="1"/>
  <c r="L24" i="3"/>
  <c r="M24" i="3"/>
  <c r="N24" i="3"/>
  <c r="O24" i="3"/>
  <c r="P24" i="3"/>
  <c r="Q24" i="3"/>
  <c r="R24" i="3"/>
  <c r="S24" i="3"/>
  <c r="T24" i="3"/>
  <c r="U24" i="3"/>
  <c r="X24" i="3"/>
  <c r="Y24" i="3"/>
  <c r="Z24" i="3"/>
  <c r="AA24" i="3"/>
  <c r="AB24" i="3"/>
  <c r="AC24" i="3"/>
  <c r="AD24" i="3"/>
  <c r="AE24" i="3"/>
  <c r="AG24" i="3"/>
  <c r="AH24" i="3"/>
  <c r="AI24" i="3"/>
  <c r="AJ24" i="3"/>
  <c r="AK24" i="3"/>
  <c r="AL24" i="3"/>
  <c r="AM24" i="3"/>
  <c r="AN24" i="3"/>
  <c r="AP24" i="3"/>
  <c r="AQ24" i="3"/>
  <c r="AT24" i="3"/>
  <c r="AU24" i="3"/>
  <c r="AU25" i="3"/>
  <c r="C26" i="3"/>
  <c r="D26" i="3"/>
  <c r="E26" i="3"/>
  <c r="F26" i="3"/>
  <c r="G26" i="3"/>
  <c r="H26" i="3"/>
  <c r="I26" i="3"/>
  <c r="L26" i="3"/>
  <c r="M26" i="3"/>
  <c r="N26" i="3"/>
  <c r="O26" i="3"/>
  <c r="P26" i="3"/>
  <c r="Q26" i="3"/>
  <c r="R26" i="3"/>
  <c r="S26" i="3"/>
  <c r="T26" i="3"/>
  <c r="U26" i="3"/>
  <c r="X26" i="3"/>
  <c r="Y26" i="3"/>
  <c r="Z26" i="3"/>
  <c r="AA26" i="3"/>
  <c r="AB26" i="3"/>
  <c r="AC26" i="3"/>
  <c r="AD26" i="3"/>
  <c r="AE26" i="3"/>
  <c r="AG26" i="3"/>
  <c r="AH26" i="3"/>
  <c r="AI26" i="3"/>
  <c r="AJ26" i="3"/>
  <c r="AK26" i="3"/>
  <c r="AL26" i="3"/>
  <c r="AM26" i="3"/>
  <c r="AN26" i="3"/>
  <c r="AP26" i="3"/>
  <c r="AP32" i="3" s="1"/>
  <c r="AQ26" i="3"/>
  <c r="AT26" i="3"/>
  <c r="AT32" i="3" s="1"/>
  <c r="AU26" i="3"/>
  <c r="AU27" i="3"/>
  <c r="AU28" i="3"/>
  <c r="AU29" i="3"/>
  <c r="AU30" i="3"/>
  <c r="AU31" i="3"/>
  <c r="C32" i="3"/>
  <c r="D32" i="3"/>
  <c r="E32" i="3"/>
  <c r="F32" i="3"/>
  <c r="G32" i="3"/>
  <c r="H32" i="3"/>
  <c r="I32" i="3"/>
  <c r="L32" i="3"/>
  <c r="M32" i="3"/>
  <c r="N32" i="3"/>
  <c r="O32" i="3"/>
  <c r="P32" i="3"/>
  <c r="Q32" i="3"/>
  <c r="R32" i="3"/>
  <c r="S32" i="3"/>
  <c r="T32" i="3"/>
  <c r="U32" i="3"/>
  <c r="W32" i="3"/>
  <c r="W40" i="3" s="1"/>
  <c r="X32" i="3"/>
  <c r="Y32" i="3"/>
  <c r="Z32" i="3"/>
  <c r="AA32" i="3"/>
  <c r="AB32" i="3"/>
  <c r="AC32" i="3"/>
  <c r="AD32" i="3"/>
  <c r="AE32" i="3"/>
  <c r="AG32" i="3"/>
  <c r="AH32" i="3"/>
  <c r="AI32" i="3"/>
  <c r="AJ32" i="3"/>
  <c r="AK32" i="3"/>
  <c r="AL32" i="3"/>
  <c r="AM32" i="3"/>
  <c r="AN32" i="3"/>
  <c r="AQ32" i="3"/>
  <c r="AR32" i="3"/>
  <c r="AU32" i="3"/>
  <c r="AU33" i="3"/>
  <c r="AU34" i="3"/>
  <c r="AU35" i="3"/>
  <c r="AU36" i="3"/>
  <c r="AU37" i="3"/>
  <c r="AU38" i="3"/>
  <c r="AU39" i="3"/>
  <c r="C40" i="3"/>
  <c r="D40" i="3"/>
  <c r="E40" i="3"/>
  <c r="F40" i="3"/>
  <c r="G40" i="3"/>
  <c r="H40" i="3"/>
  <c r="I40" i="3"/>
  <c r="L40" i="3"/>
  <c r="M40" i="3"/>
  <c r="N40" i="3"/>
  <c r="O40" i="3"/>
  <c r="P40" i="3"/>
  <c r="Q40" i="3"/>
  <c r="R40" i="3"/>
  <c r="S40" i="3"/>
  <c r="T40" i="3"/>
  <c r="U40" i="3"/>
  <c r="X40" i="3"/>
  <c r="Y40" i="3"/>
  <c r="Z40" i="3"/>
  <c r="AA40" i="3"/>
  <c r="AB40" i="3"/>
  <c r="AC40" i="3"/>
  <c r="AD40" i="3"/>
  <c r="AE40" i="3"/>
  <c r="AG40" i="3"/>
  <c r="AH40" i="3"/>
  <c r="AI40" i="3"/>
  <c r="AJ40" i="3"/>
  <c r="AK40" i="3"/>
  <c r="AL40" i="3"/>
  <c r="AM40" i="3"/>
  <c r="AN40" i="3"/>
  <c r="AP40" i="3"/>
  <c r="AQ40" i="3"/>
  <c r="AR40" i="3"/>
  <c r="AS40" i="3"/>
  <c r="AT40" i="3"/>
  <c r="AU40" i="3"/>
  <c r="F2" i="2"/>
  <c r="F3" i="2"/>
  <c r="F4" i="2"/>
  <c r="F5" i="2"/>
  <c r="F6" i="2"/>
  <c r="B7" i="2"/>
  <c r="C7" i="2"/>
  <c r="C17" i="2" s="1"/>
  <c r="C23" i="2" s="1"/>
  <c r="C25" i="2" s="1"/>
  <c r="D7" i="2"/>
  <c r="D17" i="2" s="1"/>
  <c r="E7" i="2"/>
  <c r="F7" i="2"/>
  <c r="F8" i="2"/>
  <c r="F9" i="2"/>
  <c r="F10" i="2"/>
  <c r="F11" i="2"/>
  <c r="F12" i="2"/>
  <c r="F13" i="2"/>
  <c r="F14" i="2"/>
  <c r="F15" i="2"/>
  <c r="F16" i="2"/>
  <c r="B17" i="2"/>
  <c r="B23" i="2" s="1"/>
  <c r="E17" i="2"/>
  <c r="E23" i="2" s="1"/>
  <c r="F17" i="2"/>
  <c r="F18" i="2"/>
  <c r="F19" i="2"/>
  <c r="F20" i="2"/>
  <c r="F21" i="2"/>
  <c r="F22" i="2"/>
  <c r="D23" i="2"/>
  <c r="D25" i="2" s="1"/>
  <c r="D32" i="2" s="1"/>
  <c r="F23" i="2"/>
  <c r="F24" i="2"/>
  <c r="B25" i="2"/>
  <c r="E25" i="2"/>
  <c r="E32" i="2" s="1"/>
  <c r="E39" i="2" s="1"/>
  <c r="F25" i="2"/>
  <c r="F26" i="2"/>
  <c r="F27" i="2"/>
  <c r="F28" i="2"/>
  <c r="F29" i="2"/>
  <c r="F30" i="2"/>
  <c r="F31" i="2"/>
  <c r="B32" i="2"/>
  <c r="B39" i="2" s="1"/>
  <c r="C32" i="2"/>
  <c r="F32" i="2"/>
  <c r="F33" i="2"/>
  <c r="F34" i="2"/>
  <c r="F35" i="2"/>
  <c r="F36" i="2"/>
  <c r="F37" i="2"/>
  <c r="F38" i="2"/>
  <c r="C39" i="2"/>
  <c r="D39" i="2"/>
  <c r="F39" i="2"/>
  <c r="AV2" i="1"/>
  <c r="AV3" i="1"/>
  <c r="AV4" i="1"/>
  <c r="AV5" i="1"/>
  <c r="AV6" i="1"/>
  <c r="B7" i="1"/>
  <c r="C7" i="1"/>
  <c r="D7" i="1"/>
  <c r="E7" i="1"/>
  <c r="F7" i="1"/>
  <c r="G7" i="1"/>
  <c r="H7" i="1"/>
  <c r="I7" i="1"/>
  <c r="J7" i="1"/>
  <c r="K7" i="1"/>
  <c r="M7" i="1"/>
  <c r="N7" i="1"/>
  <c r="O7" i="1"/>
  <c r="P7" i="1"/>
  <c r="Q7" i="1"/>
  <c r="R7" i="1"/>
  <c r="S7" i="1"/>
  <c r="T7" i="1"/>
  <c r="U7" i="1"/>
  <c r="V7" i="1"/>
  <c r="X7" i="1"/>
  <c r="Y7" i="1"/>
  <c r="Z7" i="1"/>
  <c r="AA7" i="1"/>
  <c r="AB7" i="1"/>
  <c r="AC7" i="1"/>
  <c r="AD7" i="1"/>
  <c r="AE7" i="1"/>
  <c r="AF7" i="1"/>
  <c r="AH7" i="1"/>
  <c r="AI7" i="1"/>
  <c r="AJ7" i="1"/>
  <c r="AK7" i="1"/>
  <c r="AL7" i="1"/>
  <c r="AM7" i="1"/>
  <c r="AN7" i="1"/>
  <c r="AO7" i="1"/>
  <c r="AQ7" i="1"/>
  <c r="AR7" i="1"/>
  <c r="AS7" i="1"/>
  <c r="AT7" i="1"/>
  <c r="AU7" i="1"/>
  <c r="AV7" i="1"/>
  <c r="AV8" i="1"/>
  <c r="AV9" i="1"/>
  <c r="AV10" i="1"/>
  <c r="AV11" i="1"/>
  <c r="AV12" i="1"/>
  <c r="AV13" i="1"/>
  <c r="AV14" i="1"/>
  <c r="AV15" i="1"/>
  <c r="AV16" i="1"/>
  <c r="B17" i="1"/>
  <c r="C17" i="1"/>
  <c r="D17" i="1"/>
  <c r="E17" i="1"/>
  <c r="F17" i="1"/>
  <c r="G17" i="1"/>
  <c r="H17" i="1"/>
  <c r="I17" i="1"/>
  <c r="J17" i="1"/>
  <c r="K17" i="1"/>
  <c r="M17" i="1"/>
  <c r="N17" i="1"/>
  <c r="O17" i="1"/>
  <c r="P17" i="1"/>
  <c r="Q17" i="1"/>
  <c r="R17" i="1"/>
  <c r="S17" i="1"/>
  <c r="T17" i="1"/>
  <c r="U17" i="1"/>
  <c r="V17" i="1"/>
  <c r="X17" i="1"/>
  <c r="Y17" i="1"/>
  <c r="Z17" i="1"/>
  <c r="AA17" i="1"/>
  <c r="AB17" i="1"/>
  <c r="AC17" i="1"/>
  <c r="AD17" i="1"/>
  <c r="AE17" i="1"/>
  <c r="AF17" i="1"/>
  <c r="AH17" i="1"/>
  <c r="AI17" i="1"/>
  <c r="AJ17" i="1"/>
  <c r="AK17" i="1"/>
  <c r="AL17" i="1"/>
  <c r="AM17" i="1"/>
  <c r="AN17" i="1"/>
  <c r="AO17" i="1"/>
  <c r="AQ17" i="1"/>
  <c r="AR17" i="1"/>
  <c r="AS17" i="1"/>
  <c r="AT17" i="1"/>
  <c r="AU17" i="1"/>
  <c r="AV17" i="1"/>
  <c r="AV18" i="1"/>
  <c r="AV19" i="1"/>
  <c r="AV20" i="1"/>
  <c r="AV21" i="1"/>
  <c r="AV22" i="1"/>
  <c r="B23" i="1"/>
  <c r="B25" i="1" s="1"/>
  <c r="C23" i="1"/>
  <c r="D23" i="1"/>
  <c r="E23" i="1"/>
  <c r="E25" i="1" s="1"/>
  <c r="F23" i="1"/>
  <c r="G23" i="1"/>
  <c r="H23" i="1"/>
  <c r="I23" i="1"/>
  <c r="J23" i="1"/>
  <c r="J25" i="1" s="1"/>
  <c r="K23" i="1"/>
  <c r="M23" i="1"/>
  <c r="N23" i="1"/>
  <c r="N25" i="1" s="1"/>
  <c r="O23" i="1"/>
  <c r="P23" i="1"/>
  <c r="Q23" i="1"/>
  <c r="R23" i="1"/>
  <c r="S23" i="1"/>
  <c r="S25" i="1" s="1"/>
  <c r="S32" i="1" s="1"/>
  <c r="S39" i="1" s="1"/>
  <c r="T23" i="1"/>
  <c r="U23" i="1"/>
  <c r="V23" i="1"/>
  <c r="V25" i="1" s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V24" i="1"/>
  <c r="C25" i="1"/>
  <c r="D25" i="1"/>
  <c r="F25" i="1"/>
  <c r="G25" i="1"/>
  <c r="H25" i="1"/>
  <c r="I25" i="1"/>
  <c r="K25" i="1"/>
  <c r="K32" i="1" s="1"/>
  <c r="K39" i="1" s="1"/>
  <c r="M25" i="1"/>
  <c r="O25" i="1"/>
  <c r="P25" i="1"/>
  <c r="Q25" i="1"/>
  <c r="Q32" i="1" s="1"/>
  <c r="Q39" i="1" s="1"/>
  <c r="R25" i="1"/>
  <c r="T25" i="1"/>
  <c r="T32" i="1" s="1"/>
  <c r="T39" i="1" s="1"/>
  <c r="U25" i="1"/>
  <c r="X25" i="1"/>
  <c r="X32" i="1" s="1"/>
  <c r="X39" i="1" s="1"/>
  <c r="Y25" i="1"/>
  <c r="Z25" i="1"/>
  <c r="AA25" i="1"/>
  <c r="AB25" i="1"/>
  <c r="AC25" i="1"/>
  <c r="AD25" i="1"/>
  <c r="AE25" i="1"/>
  <c r="AF25" i="1"/>
  <c r="AH25" i="1"/>
  <c r="AH32" i="1" s="1"/>
  <c r="AH39" i="1" s="1"/>
  <c r="AI25" i="1"/>
  <c r="AJ25" i="1"/>
  <c r="AK25" i="1"/>
  <c r="AL25" i="1"/>
  <c r="AM25" i="1"/>
  <c r="AN25" i="1"/>
  <c r="AO25" i="1"/>
  <c r="AQ25" i="1"/>
  <c r="AR25" i="1"/>
  <c r="AS25" i="1"/>
  <c r="AT25" i="1"/>
  <c r="AU25" i="1"/>
  <c r="AV25" i="1"/>
  <c r="AV26" i="1"/>
  <c r="AV27" i="1"/>
  <c r="AV28" i="1"/>
  <c r="AV29" i="1"/>
  <c r="AV30" i="1"/>
  <c r="AV31" i="1"/>
  <c r="B32" i="1"/>
  <c r="C32" i="1"/>
  <c r="D32" i="1"/>
  <c r="E32" i="1"/>
  <c r="F32" i="1"/>
  <c r="G32" i="1"/>
  <c r="H32" i="1"/>
  <c r="I32" i="1"/>
  <c r="J32" i="1"/>
  <c r="J39" i="1" s="1"/>
  <c r="M32" i="1"/>
  <c r="N32" i="1"/>
  <c r="O32" i="1"/>
  <c r="P32" i="1"/>
  <c r="R32" i="1"/>
  <c r="U32" i="1"/>
  <c r="V32" i="1"/>
  <c r="Y32" i="1"/>
  <c r="Z32" i="1"/>
  <c r="AA32" i="1"/>
  <c r="AB32" i="1"/>
  <c r="AC32" i="1"/>
  <c r="AD32" i="1"/>
  <c r="AE32" i="1"/>
  <c r="AF32" i="1"/>
  <c r="AI32" i="1"/>
  <c r="AJ32" i="1"/>
  <c r="AK32" i="1"/>
  <c r="AL32" i="1"/>
  <c r="AM32" i="1"/>
  <c r="AN32" i="1"/>
  <c r="AO32" i="1"/>
  <c r="AQ32" i="1"/>
  <c r="AR32" i="1"/>
  <c r="AS32" i="1"/>
  <c r="AT32" i="1"/>
  <c r="AU32" i="1"/>
  <c r="AV32" i="1"/>
  <c r="AV34" i="1"/>
  <c r="AV35" i="1"/>
  <c r="AV36" i="1"/>
  <c r="AV37" i="1"/>
  <c r="AV38" i="1"/>
  <c r="B39" i="1"/>
  <c r="C39" i="1"/>
  <c r="D39" i="1"/>
  <c r="E39" i="1"/>
  <c r="F39" i="1"/>
  <c r="G39" i="1"/>
  <c r="H39" i="1"/>
  <c r="I39" i="1"/>
  <c r="M39" i="1"/>
  <c r="N39" i="1"/>
  <c r="O39" i="1"/>
  <c r="P39" i="1"/>
  <c r="R39" i="1"/>
  <c r="U39" i="1"/>
  <c r="V39" i="1"/>
  <c r="Y39" i="1"/>
  <c r="Z39" i="1"/>
  <c r="AA39" i="1"/>
  <c r="AB39" i="1"/>
  <c r="AC39" i="1"/>
  <c r="AD39" i="1"/>
  <c r="AE39" i="1"/>
  <c r="AF39" i="1"/>
  <c r="AI39" i="1"/>
  <c r="AJ39" i="1"/>
  <c r="AK39" i="1"/>
  <c r="AL39" i="1"/>
  <c r="AM39" i="1"/>
  <c r="AN39" i="1"/>
  <c r="AO39" i="1"/>
  <c r="AQ39" i="1"/>
  <c r="AR39" i="1"/>
  <c r="AS39" i="1"/>
  <c r="AT39" i="1"/>
  <c r="AU39" i="1"/>
  <c r="AV39" i="1"/>
  <c r="M3" i="6"/>
  <c r="AC3" i="6"/>
  <c r="AS3" i="6"/>
  <c r="BI3" i="6"/>
  <c r="E4" i="6"/>
  <c r="U4" i="6"/>
  <c r="AK4" i="6"/>
  <c r="BA4" i="6"/>
  <c r="BQ4" i="6"/>
  <c r="C3" i="6"/>
  <c r="S3" i="6"/>
  <c r="AI3" i="6"/>
  <c r="AY3" i="6"/>
  <c r="BO3" i="6"/>
  <c r="G4" i="6"/>
  <c r="W4" i="6"/>
  <c r="AM4" i="6"/>
  <c r="BC4" i="6"/>
  <c r="BS4" i="6"/>
  <c r="Q5" i="6"/>
  <c r="AG5" i="6"/>
  <c r="AW5" i="6"/>
  <c r="BM5" i="6"/>
  <c r="G6" i="6"/>
  <c r="W6" i="6"/>
  <c r="AM6" i="6"/>
  <c r="BC6" i="6"/>
  <c r="BS6" i="6"/>
  <c r="Q7" i="6"/>
  <c r="AG7" i="6"/>
  <c r="AW7" i="6"/>
  <c r="L3" i="6"/>
  <c r="AB3" i="6"/>
  <c r="AR3" i="6"/>
  <c r="BH3" i="6"/>
  <c r="BX3" i="6"/>
  <c r="P4" i="6"/>
  <c r="AF4" i="6"/>
  <c r="AV4" i="6"/>
  <c r="BL4" i="6"/>
  <c r="F5" i="6"/>
  <c r="V5" i="6"/>
  <c r="AL5" i="6"/>
  <c r="BB5" i="6"/>
  <c r="BR5" i="6"/>
  <c r="L6" i="6"/>
  <c r="AB6" i="6"/>
  <c r="AR6" i="6"/>
  <c r="BH6" i="6"/>
  <c r="B7" i="6"/>
  <c r="R7" i="6"/>
  <c r="AH7" i="6"/>
  <c r="AX7" i="6"/>
  <c r="BN7" i="6"/>
  <c r="F12" i="6"/>
  <c r="W12" i="6"/>
  <c r="BN3" i="6"/>
  <c r="BB4" i="6"/>
  <c r="X5" i="6"/>
  <c r="BD5" i="6"/>
  <c r="N6" i="6"/>
  <c r="AT6" i="6"/>
  <c r="D7" i="6"/>
  <c r="AJ7" i="6"/>
  <c r="BL7" i="6"/>
  <c r="N12" i="6"/>
  <c r="AG12" i="6"/>
  <c r="AX12" i="6"/>
  <c r="BN12" i="6"/>
  <c r="G13" i="6"/>
  <c r="X13" i="6"/>
  <c r="AO13" i="6"/>
  <c r="BE13" i="6"/>
  <c r="BU13" i="6"/>
  <c r="P14" i="6"/>
  <c r="AF14" i="6"/>
  <c r="Q3" i="6"/>
  <c r="AG3" i="6"/>
  <c r="AW3" i="6"/>
  <c r="BM3" i="6"/>
  <c r="I4" i="6"/>
  <c r="Y4" i="6"/>
  <c r="AO4" i="6"/>
  <c r="BE4" i="6"/>
  <c r="BU4" i="6"/>
  <c r="G3" i="6"/>
  <c r="W3" i="6"/>
  <c r="AM3" i="6"/>
  <c r="BC3" i="6"/>
  <c r="BS3" i="6"/>
  <c r="K4" i="6"/>
  <c r="AA4" i="6"/>
  <c r="AQ4" i="6"/>
  <c r="BG4" i="6"/>
  <c r="E5" i="6"/>
  <c r="U5" i="6"/>
  <c r="AK5" i="6"/>
  <c r="BA5" i="6"/>
  <c r="BQ5" i="6"/>
  <c r="K6" i="6"/>
  <c r="AA6" i="6"/>
  <c r="AQ6" i="6"/>
  <c r="BG6" i="6"/>
  <c r="E7" i="6"/>
  <c r="U7" i="6"/>
  <c r="AK7" i="6"/>
  <c r="BA7" i="6"/>
  <c r="P3" i="6"/>
  <c r="AF3" i="6"/>
  <c r="AV3" i="6"/>
  <c r="BL3" i="6"/>
  <c r="D4" i="6"/>
  <c r="T4" i="6"/>
  <c r="AJ4" i="6"/>
  <c r="AZ4" i="6"/>
  <c r="BP4" i="6"/>
  <c r="J5" i="6"/>
  <c r="Z5" i="6"/>
  <c r="AP5" i="6"/>
  <c r="BF5" i="6"/>
  <c r="BW5" i="6"/>
  <c r="P6" i="6"/>
  <c r="AF6" i="6"/>
  <c r="AV6" i="6"/>
  <c r="BL6" i="6"/>
  <c r="F7" i="6"/>
  <c r="V7" i="6"/>
  <c r="AL7" i="6"/>
  <c r="BB7" i="6"/>
  <c r="BR7" i="6"/>
  <c r="J12" i="6"/>
  <c r="R3" i="6"/>
  <c r="F4" i="6"/>
  <c r="BR4" i="6"/>
  <c r="AF5" i="6"/>
  <c r="BL5" i="6"/>
  <c r="V6" i="6"/>
  <c r="BB6" i="6"/>
  <c r="L7" i="6"/>
  <c r="AR7" i="6"/>
  <c r="BQ7" i="6"/>
  <c r="T12" i="6"/>
  <c r="AL12" i="6"/>
  <c r="BB12" i="6"/>
  <c r="BR12" i="6"/>
  <c r="K13" i="6"/>
  <c r="AB13" i="6"/>
  <c r="AS13" i="6"/>
  <c r="BI13" i="6"/>
  <c r="C14" i="6"/>
  <c r="T14" i="6"/>
  <c r="AK14" i="6"/>
  <c r="BA14" i="6"/>
  <c r="BQ14" i="6"/>
  <c r="K15" i="6"/>
  <c r="AB15" i="6"/>
  <c r="BB3" i="6"/>
  <c r="AP4" i="6"/>
  <c r="S5" i="6"/>
  <c r="AY5" i="6"/>
  <c r="Q6" i="6"/>
  <c r="AW6" i="6"/>
  <c r="G7" i="6"/>
  <c r="AM7" i="6"/>
  <c r="BM7" i="6"/>
  <c r="P12" i="6"/>
  <c r="AH12" i="6"/>
  <c r="AY12" i="6"/>
  <c r="BO12" i="6"/>
  <c r="H13" i="6"/>
  <c r="Y13" i="6"/>
  <c r="AP13" i="6"/>
  <c r="BF13" i="6"/>
  <c r="U3" i="6"/>
  <c r="BA3" i="6"/>
  <c r="M4" i="6"/>
  <c r="AS4" i="6"/>
  <c r="C5" i="6"/>
  <c r="AA3" i="6"/>
  <c r="BG3" i="6"/>
  <c r="O4" i="6"/>
  <c r="AU4" i="6"/>
  <c r="I5" i="6"/>
  <c r="AO5" i="6"/>
  <c r="BU5" i="6"/>
  <c r="AE6" i="6"/>
  <c r="BK6" i="6"/>
  <c r="Y7" i="6"/>
  <c r="D3" i="6"/>
  <c r="AJ3" i="6"/>
  <c r="BP3" i="6"/>
  <c r="X4" i="6"/>
  <c r="BD4" i="6"/>
  <c r="N5" i="6"/>
  <c r="AT5" i="6"/>
  <c r="D6" i="6"/>
  <c r="AJ6" i="6"/>
  <c r="BP6" i="6"/>
  <c r="Z7" i="6"/>
  <c r="BF7" i="6"/>
  <c r="O12" i="6"/>
  <c r="V4" i="6"/>
  <c r="AN5" i="6"/>
  <c r="AD6" i="6"/>
  <c r="T7" i="6"/>
  <c r="C12" i="6"/>
  <c r="AP12" i="6"/>
  <c r="BW12" i="6"/>
  <c r="AF13" i="6"/>
  <c r="BM13" i="6"/>
  <c r="X14" i="6"/>
  <c r="AW14" i="6"/>
  <c r="BU14" i="6"/>
  <c r="T15" i="6"/>
  <c r="AL3" i="6"/>
  <c r="BF4" i="6"/>
  <c r="AI5" i="6"/>
  <c r="I6" i="6"/>
  <c r="BE6" i="6"/>
  <c r="W7" i="6"/>
  <c r="BH7" i="6"/>
  <c r="U12" i="6"/>
  <c r="AQ12" i="6"/>
  <c r="BK12" i="6"/>
  <c r="M13" i="6"/>
  <c r="AG13" i="6"/>
  <c r="BB13" i="6"/>
  <c r="BY13" i="6"/>
  <c r="Q14" i="6"/>
  <c r="AG14" i="6"/>
  <c r="AX14" i="6"/>
  <c r="BN14" i="6"/>
  <c r="H15" i="6"/>
  <c r="Y15" i="6"/>
  <c r="AP15" i="6"/>
  <c r="Z3" i="6"/>
  <c r="N4" i="6"/>
  <c r="D5" i="6"/>
  <c r="AJ5" i="6"/>
  <c r="BP5" i="6"/>
  <c r="Z6" i="6"/>
  <c r="BF6" i="6"/>
  <c r="P7" i="6"/>
  <c r="AV7" i="6"/>
  <c r="BT7" i="6"/>
  <c r="V12" i="6"/>
  <c r="AN12" i="6"/>
  <c r="BD12" i="6"/>
  <c r="BT12" i="6"/>
  <c r="R13" i="6"/>
  <c r="AH13" i="6"/>
  <c r="AY13" i="6"/>
  <c r="BO13" i="6"/>
  <c r="N14" i="6"/>
  <c r="AD14" i="6"/>
  <c r="AU14" i="6"/>
  <c r="BK14" i="6"/>
  <c r="I15" i="6"/>
  <c r="Z15" i="6"/>
  <c r="AQ15" i="6"/>
  <c r="BG15" i="6"/>
  <c r="BC5" i="6"/>
  <c r="AI7" i="6"/>
  <c r="AS12" i="6"/>
  <c r="AJ13" i="6"/>
  <c r="AA14" i="6"/>
  <c r="S15" i="6"/>
  <c r="BD15" i="6"/>
  <c r="BU15" i="6"/>
  <c r="P16" i="6"/>
  <c r="AF16" i="6"/>
  <c r="AX16" i="6"/>
  <c r="BN16" i="6"/>
  <c r="B4" i="6"/>
  <c r="U6" i="6"/>
  <c r="BP7" i="6"/>
  <c r="BM12" i="6"/>
  <c r="BD13" i="6"/>
  <c r="AV14" i="6"/>
  <c r="AJ15" i="6"/>
  <c r="BJ15" i="6"/>
  <c r="D16" i="6"/>
  <c r="U16" i="6"/>
  <c r="AM16" i="6"/>
  <c r="BC16" i="6"/>
  <c r="Y3" i="6"/>
  <c r="BE3" i="6"/>
  <c r="Q4" i="6"/>
  <c r="AW4" i="6"/>
  <c r="B3" i="6"/>
  <c r="AE3" i="6"/>
  <c r="BK3" i="6"/>
  <c r="S4" i="6"/>
  <c r="AY4" i="6"/>
  <c r="M5" i="6"/>
  <c r="AS5" i="6"/>
  <c r="C6" i="6"/>
  <c r="AI6" i="6"/>
  <c r="BO6" i="6"/>
  <c r="AC7" i="6"/>
  <c r="H3" i="6"/>
  <c r="AN3" i="6"/>
  <c r="BT3" i="6"/>
  <c r="AB4" i="6"/>
  <c r="BH4" i="6"/>
  <c r="R5" i="6"/>
  <c r="AX5" i="6"/>
  <c r="H6" i="6"/>
  <c r="AN6" i="6"/>
  <c r="BT6" i="6"/>
  <c r="AD7" i="6"/>
  <c r="BJ7" i="6"/>
  <c r="S12" i="6"/>
  <c r="BM4" i="6"/>
  <c r="BN5" i="6"/>
  <c r="P13" i="6"/>
  <c r="BO5" i="6"/>
  <c r="BY12" i="6"/>
  <c r="BB14" i="6"/>
  <c r="AT15" i="6"/>
  <c r="AX6" i="6"/>
  <c r="Q12" i="6"/>
  <c r="AM13" i="6"/>
  <c r="BC14" i="6"/>
  <c r="AY15" i="6"/>
  <c r="B13" i="6"/>
  <c r="AL16" i="6"/>
  <c r="AN13" i="6"/>
  <c r="BY15" i="6"/>
  <c r="G5" i="6"/>
  <c r="J13" i="6"/>
  <c r="N16" i="6"/>
  <c r="BL16" i="6"/>
  <c r="E6" i="6"/>
  <c r="S16" i="6"/>
  <c r="L5" i="6"/>
  <c r="BO7" i="6"/>
  <c r="AQ13" i="6"/>
  <c r="BG14" i="6"/>
  <c r="BC15" i="6"/>
  <c r="AO15" i="6"/>
  <c r="BJ16" i="6"/>
  <c r="BT13" i="6"/>
  <c r="H16" i="6"/>
  <c r="AM5" i="6"/>
  <c r="J15" i="6"/>
  <c r="AZ16" i="6"/>
  <c r="AS16" i="6"/>
  <c r="AK6" i="6"/>
  <c r="BD14" i="6"/>
  <c r="AK3" i="6"/>
  <c r="AC4" i="6"/>
  <c r="K3" i="6"/>
  <c r="BW3" i="6"/>
  <c r="BK4" i="6"/>
  <c r="BE5" i="6"/>
  <c r="AU6" i="6"/>
  <c r="AO7" i="6"/>
  <c r="AZ3" i="6"/>
  <c r="AN4" i="6"/>
  <c r="AD5" i="6"/>
  <c r="T6" i="6"/>
  <c r="J7" i="6"/>
  <c r="BW7" i="6"/>
  <c r="AL4" i="6"/>
  <c r="BT5" i="6"/>
  <c r="BR6" i="6"/>
  <c r="H12" i="6"/>
  <c r="BF12" i="6"/>
  <c r="T13" i="6"/>
  <c r="BQ13" i="6"/>
  <c r="AO14" i="6"/>
  <c r="BM14" i="6"/>
  <c r="X15" i="6"/>
  <c r="J4" i="6"/>
  <c r="AA5" i="6"/>
  <c r="Y6" i="6"/>
  <c r="BU6" i="6"/>
  <c r="BC7" i="6"/>
  <c r="Z12" i="6"/>
  <c r="BC12" i="6"/>
  <c r="D13" i="6"/>
  <c r="AL13" i="6"/>
  <c r="BN13" i="6"/>
  <c r="M14" i="6"/>
  <c r="AL14" i="6"/>
  <c r="BF14" i="6"/>
  <c r="D15" i="6"/>
  <c r="AC15" i="6"/>
  <c r="AX15" i="6"/>
  <c r="R6" i="6"/>
  <c r="BN6" i="6"/>
  <c r="AF7" i="6"/>
  <c r="AA12" i="6"/>
  <c r="V13" i="6"/>
  <c r="AM14" i="6"/>
  <c r="M6" i="6"/>
  <c r="AR14" i="6"/>
  <c r="AP16" i="6"/>
  <c r="AW12" i="6"/>
  <c r="AY16" i="6"/>
  <c r="AK12" i="6"/>
  <c r="BS15" i="6"/>
  <c r="BP16" i="6"/>
  <c r="BE7" i="6"/>
  <c r="AE15" i="6"/>
  <c r="AN15" i="6"/>
  <c r="AO3" i="6"/>
  <c r="AG4" i="6"/>
  <c r="O3" i="6"/>
  <c r="C4" i="6"/>
  <c r="BO4" i="6"/>
  <c r="BI5" i="6"/>
  <c r="AY6" i="6"/>
  <c r="AS7" i="6"/>
  <c r="BD3" i="6"/>
  <c r="AR4" i="6"/>
  <c r="AH5" i="6"/>
  <c r="X6" i="6"/>
  <c r="N7" i="6"/>
  <c r="B12" i="6"/>
  <c r="H5" i="6"/>
  <c r="F6" i="6"/>
  <c r="AB7" i="6"/>
  <c r="Y12" i="6"/>
  <c r="BJ12" i="6"/>
  <c r="AK13" i="6"/>
  <c r="G14" i="6"/>
  <c r="AS14" i="6"/>
  <c r="C15" i="6"/>
  <c r="F3" i="6"/>
  <c r="Z4" i="6"/>
  <c r="AQ5" i="6"/>
  <c r="AG6" i="6"/>
  <c r="O7" i="6"/>
  <c r="BS7" i="6"/>
  <c r="AD12" i="6"/>
  <c r="BG12" i="6"/>
  <c r="Q13" i="6"/>
  <c r="AT13" i="6"/>
  <c r="BR13" i="6"/>
  <c r="U14" i="6"/>
  <c r="AP14" i="6"/>
  <c r="BJ14" i="6"/>
  <c r="M15" i="6"/>
  <c r="AG15" i="6"/>
  <c r="J3" i="6"/>
  <c r="AD4" i="6"/>
  <c r="T5" i="6"/>
  <c r="BH5" i="6"/>
  <c r="AH6" i="6"/>
  <c r="BW6" i="6"/>
  <c r="AN7" i="6"/>
  <c r="E12" i="6"/>
  <c r="AE12" i="6"/>
  <c r="AZ12" i="6"/>
  <c r="E13" i="6"/>
  <c r="Z13" i="6"/>
  <c r="AU13" i="6"/>
  <c r="BS13" i="6"/>
  <c r="V14" i="6"/>
  <c r="AQ14" i="6"/>
  <c r="BO14" i="6"/>
  <c r="R15" i="6"/>
  <c r="AM15" i="6"/>
  <c r="BJ3" i="6"/>
  <c r="AS6" i="6"/>
  <c r="AB12" i="6"/>
  <c r="AZ13" i="6"/>
  <c r="BH14" i="6"/>
  <c r="AW15" i="6"/>
  <c r="C16" i="6"/>
  <c r="X16" i="6"/>
  <c r="AT16" i="6"/>
  <c r="BR16" i="6"/>
  <c r="AE5" i="6"/>
  <c r="AQ7" i="6"/>
  <c r="F13" i="6"/>
  <c r="O14" i="6"/>
  <c r="W15" i="6"/>
  <c r="BN15" i="6"/>
  <c r="M16" i="6"/>
  <c r="AG16" i="6"/>
  <c r="BG16" i="6"/>
  <c r="AD3" i="6"/>
  <c r="BS5" i="6"/>
  <c r="AY7" i="6"/>
  <c r="BA12" i="6"/>
  <c r="AR13" i="6"/>
  <c r="AJ14" i="6"/>
  <c r="AA15" i="6"/>
  <c r="BF15" i="6"/>
  <c r="E16" i="6"/>
  <c r="V16" i="6"/>
  <c r="AN16" i="6"/>
  <c r="BD16" i="6"/>
  <c r="BT16" i="6"/>
  <c r="O13" i="6"/>
  <c r="BP15" i="6"/>
  <c r="BI16" i="6"/>
  <c r="AO12" i="6"/>
  <c r="BB15" i="6"/>
  <c r="AW16" i="6"/>
  <c r="BE12" i="6"/>
  <c r="BH15" i="6"/>
  <c r="BA16" i="6"/>
  <c r="BU16" i="6"/>
  <c r="W16" i="6"/>
  <c r="AO16" i="6"/>
  <c r="B16" i="6"/>
  <c r="BL15" i="6"/>
  <c r="BE16" i="6"/>
  <c r="BU3" i="6"/>
  <c r="AU3" i="6"/>
  <c r="AC5" i="6"/>
  <c r="M7" i="6"/>
  <c r="L4" i="6"/>
  <c r="BD6" i="6"/>
  <c r="AX3" i="6"/>
  <c r="BJ6" i="6"/>
  <c r="BG7" i="6"/>
  <c r="BA13" i="6"/>
  <c r="BI14" i="6"/>
  <c r="BR3" i="6"/>
  <c r="BM6" i="6"/>
  <c r="I12" i="6"/>
  <c r="AC13" i="6"/>
  <c r="H14" i="6"/>
  <c r="BY14" i="6"/>
  <c r="BF3" i="6"/>
  <c r="AR5" i="6"/>
  <c r="BI7" i="6"/>
  <c r="BL12" i="6"/>
  <c r="BG13" i="6"/>
  <c r="I14" i="6"/>
  <c r="E15" i="6"/>
  <c r="W5" i="6"/>
  <c r="J14" i="6"/>
  <c r="BM15" i="6"/>
  <c r="BF16" i="6"/>
  <c r="BA6" i="6"/>
  <c r="BL14" i="6"/>
  <c r="Y16" i="6"/>
  <c r="BO16" i="6"/>
  <c r="R12" i="6"/>
  <c r="BP14" i="6"/>
  <c r="AS15" i="6"/>
  <c r="AD16" i="6"/>
  <c r="AA7" i="6"/>
  <c r="AA16" i="6"/>
  <c r="O16" i="6"/>
  <c r="AN14" i="6"/>
  <c r="O5" i="6"/>
  <c r="BQ6" i="6"/>
  <c r="AZ5" i="6"/>
  <c r="AV12" i="6"/>
  <c r="R14" i="6"/>
  <c r="AH15" i="6"/>
  <c r="S13" i="6"/>
  <c r="T16" i="6"/>
  <c r="K7" i="6"/>
  <c r="F15" i="6"/>
  <c r="BS16" i="6"/>
  <c r="AA13" i="6"/>
  <c r="BA15" i="6"/>
  <c r="AJ16" i="6"/>
  <c r="AV15" i="6"/>
  <c r="AE16" i="6"/>
  <c r="F16" i="6"/>
  <c r="E3" i="6"/>
  <c r="BQ3" i="6"/>
  <c r="BI4" i="6"/>
  <c r="AQ3" i="6"/>
  <c r="AE4" i="6"/>
  <c r="Y5" i="6"/>
  <c r="O6" i="6"/>
  <c r="I7" i="6"/>
  <c r="T3" i="6"/>
  <c r="H4" i="6"/>
  <c r="BT4" i="6"/>
  <c r="BJ5" i="6"/>
  <c r="AZ6" i="6"/>
  <c r="AP7" i="6"/>
  <c r="AH3" i="6"/>
  <c r="P5" i="6"/>
  <c r="AL6" i="6"/>
  <c r="AZ7" i="6"/>
  <c r="AC12" i="6"/>
  <c r="C13" i="6"/>
  <c r="AW13" i="6"/>
  <c r="K14" i="6"/>
  <c r="BE14" i="6"/>
  <c r="G15" i="6"/>
  <c r="V3" i="6"/>
  <c r="BW4" i="6"/>
  <c r="BG5" i="6"/>
  <c r="AO6" i="6"/>
  <c r="AE7" i="6"/>
  <c r="D12" i="6"/>
  <c r="AM12" i="6"/>
  <c r="BS12" i="6"/>
  <c r="U13" i="6"/>
  <c r="AX13" i="6"/>
  <c r="D14" i="6"/>
  <c r="Y14" i="6"/>
  <c r="AT14" i="6"/>
  <c r="BR14" i="6"/>
  <c r="Q15" i="6"/>
  <c r="AL15" i="6"/>
  <c r="AP3" i="6"/>
  <c r="AT4" i="6"/>
  <c r="AB5" i="6"/>
  <c r="B6" i="6"/>
  <c r="AP6" i="6"/>
  <c r="H7" i="6"/>
  <c r="BD7" i="6"/>
  <c r="K12" i="6"/>
  <c r="AJ12" i="6"/>
  <c r="BH12" i="6"/>
  <c r="I13" i="6"/>
  <c r="AD13" i="6"/>
  <c r="BC13" i="6"/>
  <c r="E14" i="6"/>
  <c r="Z14" i="6"/>
  <c r="AY14" i="6"/>
  <c r="BS14" i="6"/>
  <c r="V15" i="6"/>
  <c r="AU15" i="6"/>
  <c r="AX4" i="6"/>
  <c r="C7" i="6"/>
  <c r="BI12" i="6"/>
  <c r="BP13" i="6"/>
  <c r="B15" i="6"/>
  <c r="BI15" i="6"/>
  <c r="G16" i="6"/>
  <c r="AB16" i="6"/>
  <c r="BB16" i="6"/>
  <c r="BY16" i="6"/>
  <c r="BK5" i="6"/>
  <c r="M12" i="6"/>
  <c r="W13" i="6"/>
  <c r="AE14" i="6"/>
  <c r="AR15" i="6"/>
  <c r="BR15" i="6"/>
  <c r="Q16" i="6"/>
  <c r="AQ16" i="6"/>
  <c r="BK16" i="6"/>
  <c r="R4" i="6"/>
  <c r="AC6" i="6"/>
  <c r="BU7" i="6"/>
  <c r="BQ12" i="6"/>
  <c r="BH13" i="6"/>
  <c r="AZ14" i="6"/>
  <c r="AK15" i="6"/>
  <c r="BK15" i="6"/>
  <c r="I16" i="6"/>
  <c r="Z16" i="6"/>
  <c r="AR16" i="6"/>
  <c r="BH16" i="6"/>
  <c r="AU5" i="6"/>
  <c r="F14" i="6"/>
  <c r="J16" i="6"/>
  <c r="AT3" i="6"/>
  <c r="AE13" i="6"/>
  <c r="BT15" i="6"/>
  <c r="BM16" i="6"/>
  <c r="AV13" i="6"/>
  <c r="BQ16" i="6"/>
  <c r="BU12" i="6"/>
  <c r="I3" i="6"/>
  <c r="AI4" i="6"/>
  <c r="S6" i="6"/>
  <c r="X3" i="6"/>
  <c r="B5" i="6"/>
  <c r="AT7" i="6"/>
  <c r="AV5" i="6"/>
  <c r="AT12" i="6"/>
  <c r="AB14" i="6"/>
  <c r="P15" i="6"/>
  <c r="K5" i="6"/>
  <c r="AU7" i="6"/>
  <c r="AU12" i="6"/>
  <c r="BJ13" i="6"/>
  <c r="AC14" i="6"/>
  <c r="U15" i="6"/>
  <c r="BJ4" i="6"/>
  <c r="J6" i="6"/>
  <c r="X7" i="6"/>
  <c r="AR12" i="6"/>
  <c r="N13" i="6"/>
  <c r="AH14" i="6"/>
  <c r="AD15" i="6"/>
  <c r="BK7" i="6"/>
  <c r="AF15" i="6"/>
  <c r="K16" i="6"/>
  <c r="N3" i="6"/>
  <c r="AF12" i="6"/>
  <c r="AZ15" i="6"/>
  <c r="AU16" i="6"/>
  <c r="BI6" i="6"/>
  <c r="B14" i="6"/>
  <c r="BO15" i="6"/>
  <c r="AV16" i="6"/>
  <c r="BT14" i="6"/>
  <c r="W14" i="6"/>
  <c r="AH4" i="6"/>
  <c r="BL13" i="6"/>
  <c r="BV3" i="6"/>
  <c r="BP12" i="6"/>
  <c r="BK13" i="6"/>
  <c r="N15" i="6"/>
  <c r="G12" i="6"/>
  <c r="BQ15" i="6"/>
  <c r="BN4" i="6"/>
  <c r="BE15" i="6"/>
  <c r="AC16" i="6"/>
  <c r="S7" i="6"/>
  <c r="S14" i="6"/>
  <c r="R16" i="6"/>
  <c r="X12" i="6"/>
  <c r="O15" i="6"/>
  <c r="AK16" i="6"/>
  <c r="AC71" i="11" l="1"/>
  <c r="X71" i="11"/>
  <c r="AE71" i="11" s="1"/>
  <c r="AO71" i="11" s="1"/>
  <c r="AY71" i="11" s="1"/>
  <c r="BE71" i="11" s="1"/>
  <c r="BL71" i="11" s="1"/>
  <c r="AC63" i="11"/>
  <c r="X63" i="11"/>
  <c r="AE63" i="11" s="1"/>
  <c r="AO63" i="11" s="1"/>
  <c r="AY63" i="11" s="1"/>
  <c r="BE63" i="11" s="1"/>
  <c r="BL63" i="11" s="1"/>
  <c r="X59" i="11"/>
  <c r="AE59" i="11" s="1"/>
  <c r="AO59" i="11" s="1"/>
  <c r="AY59" i="11" s="1"/>
  <c r="BE59" i="11" s="1"/>
  <c r="BL59" i="11" s="1"/>
  <c r="AC59" i="11"/>
  <c r="AC51" i="11"/>
  <c r="X51" i="11"/>
  <c r="AE51" i="11" s="1"/>
  <c r="AO51" i="11" s="1"/>
  <c r="AY51" i="11" s="1"/>
  <c r="BE51" i="11" s="1"/>
  <c r="BL51" i="11" s="1"/>
  <c r="X72" i="11"/>
  <c r="AE72" i="11" s="1"/>
  <c r="AO72" i="11" s="1"/>
  <c r="AY72" i="11" s="1"/>
  <c r="BE72" i="11" s="1"/>
  <c r="BL72" i="11" s="1"/>
  <c r="AC72" i="11"/>
  <c r="X60" i="11"/>
  <c r="AE60" i="11" s="1"/>
  <c r="AO60" i="11" s="1"/>
  <c r="AY60" i="11" s="1"/>
  <c r="BE60" i="11" s="1"/>
  <c r="BL60" i="11" s="1"/>
  <c r="AC60" i="11"/>
  <c r="AC35" i="11"/>
  <c r="X35" i="11"/>
  <c r="AE35" i="11" s="1"/>
  <c r="AO35" i="11" s="1"/>
  <c r="AY35" i="11" s="1"/>
  <c r="BE35" i="11" s="1"/>
  <c r="BL35" i="11" s="1"/>
  <c r="AC43" i="11"/>
  <c r="X43" i="11"/>
  <c r="AE43" i="11" s="1"/>
  <c r="AO43" i="11" s="1"/>
  <c r="AY43" i="11" s="1"/>
  <c r="BE43" i="11" s="1"/>
  <c r="BL43" i="11" s="1"/>
  <c r="AC48" i="11"/>
  <c r="X48" i="11"/>
  <c r="AE48" i="11" s="1"/>
  <c r="AO48" i="11" s="1"/>
  <c r="AY48" i="11" s="1"/>
  <c r="BE48" i="11" s="1"/>
  <c r="BL48" i="11" s="1"/>
  <c r="AC25" i="11"/>
  <c r="X25" i="11"/>
  <c r="AE25" i="11" s="1"/>
  <c r="AO25" i="11" s="1"/>
  <c r="AY25" i="11" s="1"/>
  <c r="BE25" i="11" s="1"/>
  <c r="BL25" i="11" s="1"/>
  <c r="AC17" i="11"/>
  <c r="X17" i="11"/>
  <c r="AE17" i="11" s="1"/>
  <c r="AO17" i="11" s="1"/>
  <c r="AY17" i="11" s="1"/>
  <c r="BE17" i="11" s="1"/>
  <c r="BL17" i="11" s="1"/>
  <c r="X33" i="11"/>
  <c r="AE33" i="11" s="1"/>
  <c r="AO33" i="11" s="1"/>
  <c r="AY33" i="11" s="1"/>
  <c r="BE33" i="11" s="1"/>
  <c r="BL33" i="11" s="1"/>
  <c r="AC33" i="11"/>
  <c r="AC6" i="11"/>
  <c r="X6" i="11"/>
  <c r="AE6" i="11" s="1"/>
  <c r="AO6" i="11" s="1"/>
  <c r="AY6" i="11" s="1"/>
  <c r="BE6" i="11" s="1"/>
  <c r="BL6" i="11" s="1"/>
  <c r="AC28" i="11"/>
  <c r="X28" i="11"/>
  <c r="AE28" i="11" s="1"/>
  <c r="AO28" i="11" s="1"/>
  <c r="AY28" i="11" s="1"/>
  <c r="BE28" i="11" s="1"/>
  <c r="BL28" i="11" s="1"/>
  <c r="X44" i="11"/>
  <c r="AE44" i="11" s="1"/>
  <c r="AO44" i="11" s="1"/>
  <c r="AY44" i="11" s="1"/>
  <c r="BE44" i="11" s="1"/>
  <c r="BL44" i="11" s="1"/>
  <c r="AC44" i="11"/>
  <c r="AC62" i="11"/>
  <c r="X62" i="11"/>
  <c r="AE62" i="11" s="1"/>
  <c r="AO62" i="11" s="1"/>
  <c r="AY62" i="11" s="1"/>
  <c r="BE62" i="11" s="1"/>
  <c r="BL62" i="11" s="1"/>
  <c r="AC20" i="11"/>
  <c r="X20" i="11"/>
  <c r="AE20" i="11" s="1"/>
  <c r="AO20" i="11" s="1"/>
  <c r="AY20" i="11" s="1"/>
  <c r="BE20" i="11" s="1"/>
  <c r="BL20" i="11" s="1"/>
  <c r="AC2" i="11"/>
  <c r="X2" i="11"/>
  <c r="AE2" i="11" s="1"/>
  <c r="AO2" i="11" s="1"/>
  <c r="AC69" i="11"/>
  <c r="X69" i="11"/>
  <c r="AE69" i="11" s="1"/>
  <c r="AO69" i="11" s="1"/>
  <c r="AY69" i="11" s="1"/>
  <c r="BE69" i="11" s="1"/>
  <c r="BL69" i="11" s="1"/>
  <c r="AC61" i="11"/>
  <c r="X61" i="11"/>
  <c r="AE61" i="11" s="1"/>
  <c r="AO61" i="11" s="1"/>
  <c r="AY61" i="11" s="1"/>
  <c r="BE61" i="11" s="1"/>
  <c r="BL61" i="11" s="1"/>
  <c r="X56" i="11"/>
  <c r="AE56" i="11" s="1"/>
  <c r="AO56" i="11" s="1"/>
  <c r="AY56" i="11" s="1"/>
  <c r="BE56" i="11" s="1"/>
  <c r="BL56" i="11" s="1"/>
  <c r="AC56" i="11"/>
  <c r="AC49" i="11"/>
  <c r="X49" i="11"/>
  <c r="AE49" i="11" s="1"/>
  <c r="AO49" i="11" s="1"/>
  <c r="AY49" i="11" s="1"/>
  <c r="BE49" i="11" s="1"/>
  <c r="BL49" i="11" s="1"/>
  <c r="X68" i="11"/>
  <c r="AE68" i="11" s="1"/>
  <c r="AO68" i="11" s="1"/>
  <c r="AY68" i="11" s="1"/>
  <c r="BE68" i="11" s="1"/>
  <c r="BL68" i="11" s="1"/>
  <c r="AC68" i="11"/>
  <c r="AC54" i="11"/>
  <c r="X54" i="11"/>
  <c r="AE54" i="11" s="1"/>
  <c r="AO54" i="11" s="1"/>
  <c r="AY54" i="11" s="1"/>
  <c r="BE54" i="11" s="1"/>
  <c r="BL54" i="11" s="1"/>
  <c r="X74" i="11"/>
  <c r="AE74" i="11" s="1"/>
  <c r="AO74" i="11" s="1"/>
  <c r="AY74" i="11" s="1"/>
  <c r="BE74" i="11" s="1"/>
  <c r="BL74" i="11" s="1"/>
  <c r="AC74" i="11"/>
  <c r="AC41" i="11"/>
  <c r="X41" i="11"/>
  <c r="AE41" i="11" s="1"/>
  <c r="AO41" i="11" s="1"/>
  <c r="AY41" i="11" s="1"/>
  <c r="BE41" i="11" s="1"/>
  <c r="BL41" i="11" s="1"/>
  <c r="AC31" i="11"/>
  <c r="X31" i="11"/>
  <c r="AE31" i="11" s="1"/>
  <c r="AO31" i="11" s="1"/>
  <c r="AY31" i="11" s="1"/>
  <c r="BE31" i="11" s="1"/>
  <c r="BL31" i="11" s="1"/>
  <c r="AC23" i="11"/>
  <c r="X23" i="11"/>
  <c r="AE23" i="11" s="1"/>
  <c r="AO23" i="11" s="1"/>
  <c r="AY23" i="11" s="1"/>
  <c r="BE23" i="11" s="1"/>
  <c r="BL23" i="11" s="1"/>
  <c r="AC15" i="11"/>
  <c r="X15" i="11"/>
  <c r="AE15" i="11" s="1"/>
  <c r="AO15" i="11" s="1"/>
  <c r="AY15" i="11" s="1"/>
  <c r="BE15" i="11" s="1"/>
  <c r="BL15" i="11" s="1"/>
  <c r="AC70" i="11"/>
  <c r="X70" i="11"/>
  <c r="AE70" i="11" s="1"/>
  <c r="AO70" i="11" s="1"/>
  <c r="AY70" i="11" s="1"/>
  <c r="BE70" i="11" s="1"/>
  <c r="BL70" i="11" s="1"/>
  <c r="AC12" i="11"/>
  <c r="X12" i="11"/>
  <c r="AE12" i="11" s="1"/>
  <c r="AO12" i="11" s="1"/>
  <c r="AY12" i="11" s="1"/>
  <c r="BE12" i="11" s="1"/>
  <c r="BL12" i="11" s="1"/>
  <c r="AC52" i="11"/>
  <c r="X52" i="11"/>
  <c r="AE52" i="11" s="1"/>
  <c r="AO52" i="11" s="1"/>
  <c r="AY52" i="11" s="1"/>
  <c r="BE52" i="11" s="1"/>
  <c r="BL52" i="11" s="1"/>
  <c r="AC26" i="11"/>
  <c r="X26" i="11"/>
  <c r="AE26" i="11" s="1"/>
  <c r="AO26" i="11" s="1"/>
  <c r="AY26" i="11" s="1"/>
  <c r="BE26" i="11" s="1"/>
  <c r="BL26" i="11" s="1"/>
  <c r="X18" i="11"/>
  <c r="AE18" i="11" s="1"/>
  <c r="AO18" i="11" s="1"/>
  <c r="AY18" i="11" s="1"/>
  <c r="BE18" i="11" s="1"/>
  <c r="BL18" i="11" s="1"/>
  <c r="AC18" i="11"/>
  <c r="X40" i="11"/>
  <c r="AE40" i="11" s="1"/>
  <c r="AO40" i="11" s="1"/>
  <c r="AY40" i="11" s="1"/>
  <c r="BE40" i="11" s="1"/>
  <c r="BL40" i="11" s="1"/>
  <c r="AC40" i="11"/>
  <c r="AC16" i="11"/>
  <c r="X16" i="11"/>
  <c r="AE16" i="11" s="1"/>
  <c r="AO16" i="11" s="1"/>
  <c r="AY16" i="11" s="1"/>
  <c r="BE16" i="11" s="1"/>
  <c r="BL16" i="11" s="1"/>
  <c r="X5" i="11"/>
  <c r="AE5" i="11" s="1"/>
  <c r="AO5" i="11" s="1"/>
  <c r="AY5" i="11" s="1"/>
  <c r="BE5" i="11" s="1"/>
  <c r="BL5" i="11" s="1"/>
  <c r="AC5" i="11"/>
  <c r="J78" i="11"/>
  <c r="X78" i="11" s="1"/>
  <c r="AE78" i="11" s="1"/>
  <c r="AO78" i="11" s="1"/>
  <c r="AC67" i="11"/>
  <c r="X67" i="11"/>
  <c r="AE67" i="11" s="1"/>
  <c r="AO67" i="11" s="1"/>
  <c r="AY67" i="11" s="1"/>
  <c r="BE67" i="11" s="1"/>
  <c r="BL67" i="11" s="1"/>
  <c r="AC75" i="11"/>
  <c r="X75" i="11"/>
  <c r="AE75" i="11" s="1"/>
  <c r="AO75" i="11" s="1"/>
  <c r="AY75" i="11" s="1"/>
  <c r="BE75" i="11" s="1"/>
  <c r="BL75" i="11" s="1"/>
  <c r="X55" i="11"/>
  <c r="AE55" i="11" s="1"/>
  <c r="AO55" i="11" s="1"/>
  <c r="AY55" i="11" s="1"/>
  <c r="BE55" i="11" s="1"/>
  <c r="BL55" i="11" s="1"/>
  <c r="AC55" i="11"/>
  <c r="AC47" i="11"/>
  <c r="X47" i="11"/>
  <c r="AE47" i="11" s="1"/>
  <c r="AO47" i="11" s="1"/>
  <c r="AY47" i="11" s="1"/>
  <c r="BE47" i="11" s="1"/>
  <c r="BL47" i="11" s="1"/>
  <c r="X64" i="11"/>
  <c r="AE64" i="11" s="1"/>
  <c r="AO64" i="11" s="1"/>
  <c r="AY64" i="11" s="1"/>
  <c r="BE64" i="11" s="1"/>
  <c r="BL64" i="11" s="1"/>
  <c r="AC64" i="11"/>
  <c r="AC50" i="11"/>
  <c r="X50" i="11"/>
  <c r="AE50" i="11" s="1"/>
  <c r="AO50" i="11" s="1"/>
  <c r="AY50" i="11" s="1"/>
  <c r="BE50" i="11" s="1"/>
  <c r="BL50" i="11" s="1"/>
  <c r="AC66" i="11"/>
  <c r="X66" i="11"/>
  <c r="AE66" i="11" s="1"/>
  <c r="AO66" i="11" s="1"/>
  <c r="AY66" i="11" s="1"/>
  <c r="BE66" i="11" s="1"/>
  <c r="BL66" i="11" s="1"/>
  <c r="AC39" i="11"/>
  <c r="X39" i="11"/>
  <c r="AE39" i="11" s="1"/>
  <c r="AO39" i="11" s="1"/>
  <c r="AY39" i="11" s="1"/>
  <c r="BE39" i="11" s="1"/>
  <c r="BL39" i="11" s="1"/>
  <c r="AC29" i="11"/>
  <c r="X29" i="11"/>
  <c r="AE29" i="11" s="1"/>
  <c r="AO29" i="11" s="1"/>
  <c r="AY29" i="11" s="1"/>
  <c r="BE29" i="11" s="1"/>
  <c r="BL29" i="11" s="1"/>
  <c r="AC21" i="11"/>
  <c r="X21" i="11"/>
  <c r="AE21" i="11" s="1"/>
  <c r="AO21" i="11" s="1"/>
  <c r="AY21" i="11" s="1"/>
  <c r="BE21" i="11" s="1"/>
  <c r="BL21" i="11" s="1"/>
  <c r="AC13" i="11"/>
  <c r="X13" i="11"/>
  <c r="AE13" i="11" s="1"/>
  <c r="AO13" i="11" s="1"/>
  <c r="AY13" i="11" s="1"/>
  <c r="BE13" i="11" s="1"/>
  <c r="BL13" i="11" s="1"/>
  <c r="X42" i="11"/>
  <c r="AE42" i="11" s="1"/>
  <c r="AO42" i="11" s="1"/>
  <c r="AY42" i="11" s="1"/>
  <c r="BE42" i="11" s="1"/>
  <c r="BL42" i="11" s="1"/>
  <c r="AC42" i="11"/>
  <c r="AC10" i="11"/>
  <c r="X10" i="11"/>
  <c r="AE10" i="11" s="1"/>
  <c r="AO10" i="11" s="1"/>
  <c r="AY10" i="11" s="1"/>
  <c r="BE10" i="11" s="1"/>
  <c r="BL10" i="11" s="1"/>
  <c r="AC32" i="11"/>
  <c r="X32" i="11"/>
  <c r="AE32" i="11" s="1"/>
  <c r="AO32" i="11" s="1"/>
  <c r="AY32" i="11" s="1"/>
  <c r="BE32" i="11" s="1"/>
  <c r="BL32" i="11" s="1"/>
  <c r="AC24" i="11"/>
  <c r="X24" i="11"/>
  <c r="AE24" i="11" s="1"/>
  <c r="AO24" i="11" s="1"/>
  <c r="AY24" i="11" s="1"/>
  <c r="BE24" i="11" s="1"/>
  <c r="BL24" i="11" s="1"/>
  <c r="X14" i="11"/>
  <c r="AE14" i="11" s="1"/>
  <c r="AO14" i="11" s="1"/>
  <c r="AY14" i="11" s="1"/>
  <c r="BE14" i="11" s="1"/>
  <c r="BL14" i="11" s="1"/>
  <c r="AC14" i="11"/>
  <c r="X11" i="11"/>
  <c r="AE11" i="11" s="1"/>
  <c r="AO11" i="11" s="1"/>
  <c r="AY11" i="11" s="1"/>
  <c r="BE11" i="11" s="1"/>
  <c r="BL11" i="11" s="1"/>
  <c r="AC11" i="11"/>
  <c r="X36" i="11"/>
  <c r="AE36" i="11" s="1"/>
  <c r="AO36" i="11" s="1"/>
  <c r="AY36" i="11" s="1"/>
  <c r="BE36" i="11" s="1"/>
  <c r="BL36" i="11" s="1"/>
  <c r="AC36" i="11"/>
  <c r="X3" i="11"/>
  <c r="AE3" i="11" s="1"/>
  <c r="AO3" i="11" s="1"/>
  <c r="AY3" i="11" s="1"/>
  <c r="BE3" i="11" s="1"/>
  <c r="BL3" i="11" s="1"/>
  <c r="AC3" i="11"/>
  <c r="AC73" i="11"/>
  <c r="X73" i="11"/>
  <c r="AE73" i="11" s="1"/>
  <c r="AO73" i="11" s="1"/>
  <c r="AY73" i="11" s="1"/>
  <c r="BE73" i="11" s="1"/>
  <c r="BL73" i="11" s="1"/>
  <c r="AC65" i="11"/>
  <c r="X65" i="11"/>
  <c r="AE65" i="11" s="1"/>
  <c r="AO65" i="11" s="1"/>
  <c r="AY65" i="11" s="1"/>
  <c r="BE65" i="11" s="1"/>
  <c r="BL65" i="11" s="1"/>
  <c r="AC76" i="11"/>
  <c r="X76" i="11"/>
  <c r="AE76" i="11" s="1"/>
  <c r="AO76" i="11" s="1"/>
  <c r="AY76" i="11" s="1"/>
  <c r="BE76" i="11" s="1"/>
  <c r="BL76" i="11" s="1"/>
  <c r="AC53" i="11"/>
  <c r="X53" i="11"/>
  <c r="AE53" i="11" s="1"/>
  <c r="AO53" i="11" s="1"/>
  <c r="AY53" i="11" s="1"/>
  <c r="BE53" i="11" s="1"/>
  <c r="BL53" i="11" s="1"/>
  <c r="AC45" i="11"/>
  <c r="X45" i="11"/>
  <c r="AE45" i="11" s="1"/>
  <c r="AO45" i="11" s="1"/>
  <c r="AY45" i="11" s="1"/>
  <c r="BE45" i="11" s="1"/>
  <c r="BL45" i="11" s="1"/>
  <c r="AC58" i="11"/>
  <c r="X58" i="11"/>
  <c r="AE58" i="11" s="1"/>
  <c r="AO58" i="11" s="1"/>
  <c r="AY58" i="11" s="1"/>
  <c r="BE58" i="11" s="1"/>
  <c r="BL58" i="11" s="1"/>
  <c r="AC46" i="11"/>
  <c r="X46" i="11"/>
  <c r="AE46" i="11" s="1"/>
  <c r="AO46" i="11" s="1"/>
  <c r="AY46" i="11" s="1"/>
  <c r="BE46" i="11" s="1"/>
  <c r="BL46" i="11" s="1"/>
  <c r="X57" i="11"/>
  <c r="AE57" i="11" s="1"/>
  <c r="AO57" i="11" s="1"/>
  <c r="AY57" i="11" s="1"/>
  <c r="BE57" i="11" s="1"/>
  <c r="BL57" i="11" s="1"/>
  <c r="AC57" i="11"/>
  <c r="AC37" i="11"/>
  <c r="X37" i="11"/>
  <c r="AE37" i="11" s="1"/>
  <c r="AO37" i="11" s="1"/>
  <c r="AY37" i="11" s="1"/>
  <c r="BE37" i="11" s="1"/>
  <c r="BL37" i="11" s="1"/>
  <c r="AC27" i="11"/>
  <c r="X27" i="11"/>
  <c r="AE27" i="11" s="1"/>
  <c r="AO27" i="11" s="1"/>
  <c r="AY27" i="11" s="1"/>
  <c r="BE27" i="11" s="1"/>
  <c r="BL27" i="11" s="1"/>
  <c r="AC19" i="11"/>
  <c r="X19" i="11"/>
  <c r="AE19" i="11" s="1"/>
  <c r="AO19" i="11" s="1"/>
  <c r="AY19" i="11" s="1"/>
  <c r="BE19" i="11" s="1"/>
  <c r="BL19" i="11" s="1"/>
  <c r="X38" i="11"/>
  <c r="AE38" i="11" s="1"/>
  <c r="AO38" i="11" s="1"/>
  <c r="AY38" i="11" s="1"/>
  <c r="BE38" i="11" s="1"/>
  <c r="BL38" i="11" s="1"/>
  <c r="AC38" i="11"/>
  <c r="AC8" i="11"/>
  <c r="X8" i="11"/>
  <c r="AE8" i="11" s="1"/>
  <c r="AO8" i="11" s="1"/>
  <c r="AY8" i="11" s="1"/>
  <c r="BE8" i="11" s="1"/>
  <c r="BL8" i="11" s="1"/>
  <c r="AC30" i="11"/>
  <c r="X30" i="11"/>
  <c r="AE30" i="11" s="1"/>
  <c r="AO30" i="11" s="1"/>
  <c r="AY30" i="11" s="1"/>
  <c r="BE30" i="11" s="1"/>
  <c r="BL30" i="11" s="1"/>
  <c r="AC22" i="11"/>
  <c r="X22" i="11"/>
  <c r="AE22" i="11" s="1"/>
  <c r="AO22" i="11" s="1"/>
  <c r="AY22" i="11" s="1"/>
  <c r="BE22" i="11" s="1"/>
  <c r="BL22" i="11" s="1"/>
  <c r="X4" i="11"/>
  <c r="AE4" i="11" s="1"/>
  <c r="AO4" i="11" s="1"/>
  <c r="AY4" i="11" s="1"/>
  <c r="BE4" i="11" s="1"/>
  <c r="BL4" i="11" s="1"/>
  <c r="AC4" i="11"/>
  <c r="X7" i="11"/>
  <c r="AE7" i="11" s="1"/>
  <c r="AO7" i="11" s="1"/>
  <c r="AY7" i="11" s="1"/>
  <c r="BE7" i="11" s="1"/>
  <c r="BL7" i="11" s="1"/>
  <c r="AC7" i="11"/>
  <c r="AC34" i="11"/>
  <c r="X34" i="11"/>
  <c r="AE34" i="11" s="1"/>
  <c r="AO34" i="11" s="1"/>
  <c r="AY34" i="11" s="1"/>
  <c r="BE34" i="11" s="1"/>
  <c r="BL34" i="11" s="1"/>
  <c r="X9" i="11"/>
  <c r="AE9" i="11" s="1"/>
  <c r="AO9" i="11" s="1"/>
  <c r="AY9" i="11" s="1"/>
  <c r="BE9" i="11" s="1"/>
  <c r="BL9" i="11" s="1"/>
  <c r="AC9" i="11"/>
  <c r="CB61" i="6"/>
  <c r="CB52" i="6"/>
  <c r="CB53" i="6"/>
  <c r="CB59" i="6"/>
  <c r="CB58" i="6"/>
  <c r="BZ16" i="6"/>
  <c r="AT10" i="6"/>
  <c r="BZ14" i="6"/>
  <c r="AD10" i="6"/>
  <c r="BZ4" i="6"/>
  <c r="N10" i="6"/>
  <c r="BZ15" i="6"/>
  <c r="BZ13" i="6"/>
  <c r="BJ10" i="6"/>
  <c r="BZ6" i="6"/>
  <c r="BV10" i="6"/>
  <c r="BF10" i="6"/>
  <c r="AP10" i="6"/>
  <c r="Z10" i="6"/>
  <c r="J10" i="6"/>
  <c r="BY24" i="6"/>
  <c r="BY31" i="6" s="1"/>
  <c r="BY41" i="6" s="1"/>
  <c r="BY51" i="6" s="1"/>
  <c r="BY57" i="6" s="1"/>
  <c r="BY64" i="6" s="1"/>
  <c r="BR10" i="6"/>
  <c r="BB10" i="6"/>
  <c r="AL10" i="6"/>
  <c r="V10" i="6"/>
  <c r="F10" i="6"/>
  <c r="BN10" i="6"/>
  <c r="AX10" i="6"/>
  <c r="AH10" i="6"/>
  <c r="R10" i="6"/>
  <c r="BZ12" i="6"/>
  <c r="BZ7" i="6"/>
  <c r="BZ5" i="6"/>
  <c r="BX10" i="6"/>
  <c r="BT10" i="6"/>
  <c r="BP10" i="6"/>
  <c r="BL10" i="6"/>
  <c r="BH10" i="6"/>
  <c r="BD10" i="6"/>
  <c r="AZ10" i="6"/>
  <c r="AV10" i="6"/>
  <c r="AR10" i="6"/>
  <c r="AN10" i="6"/>
  <c r="AJ10" i="6"/>
  <c r="AF10" i="6"/>
  <c r="AB10" i="6"/>
  <c r="X10" i="6"/>
  <c r="T10" i="6"/>
  <c r="P10" i="6"/>
  <c r="L10" i="6"/>
  <c r="H10" i="6"/>
  <c r="D10" i="6"/>
  <c r="BW10" i="6"/>
  <c r="BS10" i="6"/>
  <c r="BO10" i="6"/>
  <c r="BK10" i="6"/>
  <c r="BG10" i="6"/>
  <c r="BC10" i="6"/>
  <c r="AY10" i="6"/>
  <c r="AU10" i="6"/>
  <c r="AQ10" i="6"/>
  <c r="AM10" i="6"/>
  <c r="AI10" i="6"/>
  <c r="AE10" i="6"/>
  <c r="AA10" i="6"/>
  <c r="W10" i="6"/>
  <c r="S10" i="6"/>
  <c r="O10" i="6"/>
  <c r="K10" i="6"/>
  <c r="G10" i="6"/>
  <c r="C10" i="6"/>
  <c r="BZ3" i="6"/>
  <c r="B10" i="6"/>
  <c r="BU10" i="6"/>
  <c r="BQ10" i="6"/>
  <c r="BM10" i="6"/>
  <c r="BI10" i="6"/>
  <c r="BE10" i="6"/>
  <c r="BA10" i="6"/>
  <c r="AW10" i="6"/>
  <c r="AS10" i="6"/>
  <c r="AO10" i="6"/>
  <c r="AK10" i="6"/>
  <c r="AG10" i="6"/>
  <c r="AC10" i="6"/>
  <c r="Y10" i="6"/>
  <c r="U10" i="6"/>
  <c r="Q10" i="6"/>
  <c r="M10" i="6"/>
  <c r="I10" i="6"/>
  <c r="E10" i="6"/>
  <c r="AY2" i="11" l="1"/>
  <c r="BE2" i="11" s="1"/>
  <c r="BL2" i="11" s="1"/>
  <c r="BE78" i="11"/>
  <c r="BL78" i="11" s="1"/>
  <c r="AY78" i="11"/>
  <c r="BZ10" i="6"/>
  <c r="BZ24" i="6" s="1"/>
  <c r="BZ31" i="6" s="1"/>
  <c r="BZ41" i="6" s="1"/>
  <c r="CB55" i="6" s="1"/>
  <c r="AS24" i="6"/>
  <c r="AS31" i="6" s="1"/>
  <c r="AS41" i="6" s="1"/>
  <c r="AS51" i="6" s="1"/>
  <c r="AS57" i="6" s="1"/>
  <c r="AS64" i="6" s="1"/>
  <c r="AS29" i="6"/>
  <c r="BI24" i="6"/>
  <c r="BI31" i="6" s="1"/>
  <c r="BI41" i="6" s="1"/>
  <c r="BI51" i="6" s="1"/>
  <c r="BI57" i="6" s="1"/>
  <c r="BI64" i="6" s="1"/>
  <c r="BI29" i="6"/>
  <c r="B24" i="6"/>
  <c r="B31" i="6" s="1"/>
  <c r="B41" i="6" s="1"/>
  <c r="B51" i="6" s="1"/>
  <c r="B57" i="6" s="1"/>
  <c r="B64" i="6" s="1"/>
  <c r="B29" i="6"/>
  <c r="K24" i="6"/>
  <c r="K31" i="6" s="1"/>
  <c r="K41" i="6" s="1"/>
  <c r="K51" i="6" s="1"/>
  <c r="K57" i="6" s="1"/>
  <c r="K64" i="6" s="1"/>
  <c r="K29" i="6"/>
  <c r="AA24" i="6"/>
  <c r="AA31" i="6" s="1"/>
  <c r="AA41" i="6" s="1"/>
  <c r="AA51" i="6" s="1"/>
  <c r="AA57" i="6" s="1"/>
  <c r="AA64" i="6" s="1"/>
  <c r="AA29" i="6"/>
  <c r="AQ24" i="6"/>
  <c r="AQ31" i="6" s="1"/>
  <c r="AQ41" i="6" s="1"/>
  <c r="AQ51" i="6" s="1"/>
  <c r="AQ57" i="6" s="1"/>
  <c r="AQ64" i="6" s="1"/>
  <c r="AQ29" i="6"/>
  <c r="BG24" i="6"/>
  <c r="BG31" i="6" s="1"/>
  <c r="BG41" i="6" s="1"/>
  <c r="BG51" i="6" s="1"/>
  <c r="BG57" i="6" s="1"/>
  <c r="BG64" i="6" s="1"/>
  <c r="BG29" i="6"/>
  <c r="BW24" i="6"/>
  <c r="BW31" i="6" s="1"/>
  <c r="BW41" i="6" s="1"/>
  <c r="BW51" i="6" s="1"/>
  <c r="BW57" i="6" s="1"/>
  <c r="BW64" i="6" s="1"/>
  <c r="BW29" i="6"/>
  <c r="P24" i="6"/>
  <c r="P31" i="6" s="1"/>
  <c r="P41" i="6" s="1"/>
  <c r="P51" i="6" s="1"/>
  <c r="P57" i="6" s="1"/>
  <c r="P64" i="6" s="1"/>
  <c r="P29" i="6"/>
  <c r="AF24" i="6"/>
  <c r="AF31" i="6" s="1"/>
  <c r="AF41" i="6" s="1"/>
  <c r="AF51" i="6" s="1"/>
  <c r="AF57" i="6" s="1"/>
  <c r="AF64" i="6" s="1"/>
  <c r="AF29" i="6"/>
  <c r="AV24" i="6"/>
  <c r="AV31" i="6" s="1"/>
  <c r="AV41" i="6" s="1"/>
  <c r="AV51" i="6" s="1"/>
  <c r="AV57" i="6" s="1"/>
  <c r="AV64" i="6" s="1"/>
  <c r="AV29" i="6"/>
  <c r="BL24" i="6"/>
  <c r="BL31" i="6" s="1"/>
  <c r="BL41" i="6" s="1"/>
  <c r="BL51" i="6" s="1"/>
  <c r="BL57" i="6" s="1"/>
  <c r="BL64" i="6" s="1"/>
  <c r="BL29" i="6"/>
  <c r="AH24" i="6"/>
  <c r="AH31" i="6" s="1"/>
  <c r="AH41" i="6" s="1"/>
  <c r="AH51" i="6" s="1"/>
  <c r="AH57" i="6" s="1"/>
  <c r="AH64" i="6" s="1"/>
  <c r="AH29" i="6"/>
  <c r="V24" i="6"/>
  <c r="V31" i="6" s="1"/>
  <c r="V41" i="6" s="1"/>
  <c r="V51" i="6" s="1"/>
  <c r="V57" i="6" s="1"/>
  <c r="V64" i="6" s="1"/>
  <c r="V29" i="6"/>
  <c r="BF24" i="6"/>
  <c r="BF31" i="6" s="1"/>
  <c r="BF41" i="6" s="1"/>
  <c r="BF51" i="6" s="1"/>
  <c r="BF57" i="6" s="1"/>
  <c r="BF64" i="6" s="1"/>
  <c r="BF29" i="6"/>
  <c r="AD24" i="6"/>
  <c r="AD31" i="6" s="1"/>
  <c r="AD41" i="6" s="1"/>
  <c r="AD51" i="6" s="1"/>
  <c r="AD57" i="6" s="1"/>
  <c r="AD64" i="6" s="1"/>
  <c r="AD29" i="6"/>
  <c r="BZ51" i="6"/>
  <c r="AE24" i="6"/>
  <c r="AE31" i="6" s="1"/>
  <c r="AE41" i="6" s="1"/>
  <c r="AE51" i="6" s="1"/>
  <c r="AE57" i="6" s="1"/>
  <c r="AE64" i="6" s="1"/>
  <c r="AE29" i="6"/>
  <c r="D24" i="6"/>
  <c r="D31" i="6" s="1"/>
  <c r="D41" i="6" s="1"/>
  <c r="D51" i="6" s="1"/>
  <c r="D57" i="6" s="1"/>
  <c r="D64" i="6" s="1"/>
  <c r="D29" i="6"/>
  <c r="AJ24" i="6"/>
  <c r="AJ31" i="6" s="1"/>
  <c r="AJ41" i="6" s="1"/>
  <c r="AJ51" i="6" s="1"/>
  <c r="AJ57" i="6" s="1"/>
  <c r="AJ64" i="6" s="1"/>
  <c r="AJ29" i="6"/>
  <c r="AZ24" i="6"/>
  <c r="AZ31" i="6" s="1"/>
  <c r="AZ41" i="6" s="1"/>
  <c r="AZ51" i="6" s="1"/>
  <c r="AZ57" i="6" s="1"/>
  <c r="AZ64" i="6" s="1"/>
  <c r="AZ29" i="6"/>
  <c r="BP24" i="6"/>
  <c r="BP31" i="6" s="1"/>
  <c r="BP41" i="6" s="1"/>
  <c r="BP51" i="6" s="1"/>
  <c r="BP57" i="6" s="1"/>
  <c r="BP64" i="6" s="1"/>
  <c r="BP29" i="6"/>
  <c r="AX24" i="6"/>
  <c r="AX31" i="6" s="1"/>
  <c r="AX41" i="6" s="1"/>
  <c r="AX51" i="6" s="1"/>
  <c r="AX57" i="6" s="1"/>
  <c r="AX64" i="6" s="1"/>
  <c r="AX29" i="6"/>
  <c r="J24" i="6"/>
  <c r="J31" i="6" s="1"/>
  <c r="J41" i="6" s="1"/>
  <c r="J51" i="6" s="1"/>
  <c r="J57" i="6" s="1"/>
  <c r="J64" i="6" s="1"/>
  <c r="J29" i="6"/>
  <c r="BV24" i="6"/>
  <c r="BV31" i="6" s="1"/>
  <c r="BV41" i="6" s="1"/>
  <c r="BV51" i="6" s="1"/>
  <c r="BV57" i="6" s="1"/>
  <c r="BV64" i="6" s="1"/>
  <c r="BV29" i="6"/>
  <c r="I29" i="6"/>
  <c r="I24" i="6"/>
  <c r="I31" i="6" s="1"/>
  <c r="I41" i="6" s="1"/>
  <c r="I51" i="6" s="1"/>
  <c r="I57" i="6" s="1"/>
  <c r="I64" i="6" s="1"/>
  <c r="AO29" i="6"/>
  <c r="AO24" i="6"/>
  <c r="AO31" i="6" s="1"/>
  <c r="AO41" i="6" s="1"/>
  <c r="AO51" i="6" s="1"/>
  <c r="AO57" i="6" s="1"/>
  <c r="AO64" i="6" s="1"/>
  <c r="M24" i="6"/>
  <c r="M31" i="6" s="1"/>
  <c r="M41" i="6" s="1"/>
  <c r="M51" i="6" s="1"/>
  <c r="M57" i="6" s="1"/>
  <c r="M64" i="6" s="1"/>
  <c r="M29" i="6"/>
  <c r="AC24" i="6"/>
  <c r="AC31" i="6" s="1"/>
  <c r="AC41" i="6" s="1"/>
  <c r="AC51" i="6" s="1"/>
  <c r="AC57" i="6" s="1"/>
  <c r="AC64" i="6" s="1"/>
  <c r="AC29" i="6"/>
  <c r="Q24" i="6"/>
  <c r="Q31" i="6" s="1"/>
  <c r="Q41" i="6" s="1"/>
  <c r="Q51" i="6" s="1"/>
  <c r="Q57" i="6" s="1"/>
  <c r="Q64" i="6" s="1"/>
  <c r="Q29" i="6"/>
  <c r="AG24" i="6"/>
  <c r="AG31" i="6" s="1"/>
  <c r="AG41" i="6" s="1"/>
  <c r="AG51" i="6" s="1"/>
  <c r="AG57" i="6" s="1"/>
  <c r="AG64" i="6" s="1"/>
  <c r="AG29" i="6"/>
  <c r="AW24" i="6"/>
  <c r="AW31" i="6" s="1"/>
  <c r="AW41" i="6" s="1"/>
  <c r="AW51" i="6" s="1"/>
  <c r="AW57" i="6" s="1"/>
  <c r="AW64" i="6" s="1"/>
  <c r="AW29" i="6"/>
  <c r="BM24" i="6"/>
  <c r="BM31" i="6" s="1"/>
  <c r="BM41" i="6" s="1"/>
  <c r="BM51" i="6" s="1"/>
  <c r="BM57" i="6" s="1"/>
  <c r="BM64" i="6" s="1"/>
  <c r="BM29" i="6"/>
  <c r="O24" i="6"/>
  <c r="O31" i="6" s="1"/>
  <c r="O41" i="6" s="1"/>
  <c r="O51" i="6" s="1"/>
  <c r="O57" i="6" s="1"/>
  <c r="O64" i="6" s="1"/>
  <c r="O29" i="6"/>
  <c r="AU24" i="6"/>
  <c r="AU31" i="6" s="1"/>
  <c r="AU41" i="6" s="1"/>
  <c r="AU51" i="6" s="1"/>
  <c r="AU57" i="6" s="1"/>
  <c r="AU64" i="6" s="1"/>
  <c r="AU29" i="6"/>
  <c r="BK24" i="6"/>
  <c r="BK31" i="6" s="1"/>
  <c r="BK41" i="6" s="1"/>
  <c r="BK51" i="6" s="1"/>
  <c r="BK57" i="6" s="1"/>
  <c r="BK64" i="6" s="1"/>
  <c r="BK29" i="6"/>
  <c r="T24" i="6"/>
  <c r="T31" i="6" s="1"/>
  <c r="T41" i="6" s="1"/>
  <c r="T51" i="6" s="1"/>
  <c r="T57" i="6" s="1"/>
  <c r="T64" i="6" s="1"/>
  <c r="T29" i="6"/>
  <c r="AL24" i="6"/>
  <c r="AL31" i="6" s="1"/>
  <c r="AL41" i="6" s="1"/>
  <c r="AL51" i="6" s="1"/>
  <c r="AL57" i="6" s="1"/>
  <c r="AL64" i="6" s="1"/>
  <c r="AL29" i="6"/>
  <c r="E29" i="6"/>
  <c r="E24" i="6"/>
  <c r="E31" i="6" s="1"/>
  <c r="E41" i="6" s="1"/>
  <c r="E51" i="6" s="1"/>
  <c r="E57" i="6" s="1"/>
  <c r="E64" i="6" s="1"/>
  <c r="U29" i="6"/>
  <c r="U24" i="6"/>
  <c r="U31" i="6" s="1"/>
  <c r="U41" i="6" s="1"/>
  <c r="U51" i="6" s="1"/>
  <c r="U57" i="6" s="1"/>
  <c r="U64" i="6" s="1"/>
  <c r="AK29" i="6"/>
  <c r="AK24" i="6"/>
  <c r="AK31" i="6" s="1"/>
  <c r="AK41" i="6" s="1"/>
  <c r="AK51" i="6" s="1"/>
  <c r="AK57" i="6" s="1"/>
  <c r="AK64" i="6" s="1"/>
  <c r="BA29" i="6"/>
  <c r="BA24" i="6"/>
  <c r="BA31" i="6" s="1"/>
  <c r="BA41" i="6" s="1"/>
  <c r="BA51" i="6" s="1"/>
  <c r="BA57" i="6" s="1"/>
  <c r="BA64" i="6" s="1"/>
  <c r="BQ29" i="6"/>
  <c r="BQ24" i="6"/>
  <c r="BQ31" i="6" s="1"/>
  <c r="BQ41" i="6" s="1"/>
  <c r="BQ51" i="6" s="1"/>
  <c r="BQ57" i="6" s="1"/>
  <c r="BQ64" i="6" s="1"/>
  <c r="C24" i="6"/>
  <c r="C31" i="6" s="1"/>
  <c r="C41" i="6" s="1"/>
  <c r="C51" i="6" s="1"/>
  <c r="C57" i="6" s="1"/>
  <c r="C64" i="6" s="1"/>
  <c r="C29" i="6"/>
  <c r="S24" i="6"/>
  <c r="S31" i="6" s="1"/>
  <c r="S41" i="6" s="1"/>
  <c r="S51" i="6" s="1"/>
  <c r="S57" i="6" s="1"/>
  <c r="S64" i="6" s="1"/>
  <c r="S29" i="6"/>
  <c r="AI24" i="6"/>
  <c r="AI31" i="6" s="1"/>
  <c r="AI41" i="6" s="1"/>
  <c r="AI51" i="6" s="1"/>
  <c r="AI57" i="6" s="1"/>
  <c r="AI64" i="6" s="1"/>
  <c r="AI29" i="6"/>
  <c r="AY24" i="6"/>
  <c r="AY31" i="6" s="1"/>
  <c r="AY41" i="6" s="1"/>
  <c r="AY51" i="6" s="1"/>
  <c r="AY57" i="6" s="1"/>
  <c r="AY64" i="6" s="1"/>
  <c r="AY29" i="6"/>
  <c r="BO24" i="6"/>
  <c r="BO31" i="6" s="1"/>
  <c r="BO41" i="6" s="1"/>
  <c r="BO51" i="6" s="1"/>
  <c r="BO57" i="6" s="1"/>
  <c r="BO64" i="6" s="1"/>
  <c r="BO29" i="6"/>
  <c r="H24" i="6"/>
  <c r="H31" i="6" s="1"/>
  <c r="H41" i="6" s="1"/>
  <c r="H51" i="6" s="1"/>
  <c r="H57" i="6" s="1"/>
  <c r="H64" i="6" s="1"/>
  <c r="H29" i="6"/>
  <c r="X24" i="6"/>
  <c r="X31" i="6" s="1"/>
  <c r="X41" i="6" s="1"/>
  <c r="X51" i="6" s="1"/>
  <c r="X57" i="6" s="1"/>
  <c r="X64" i="6" s="1"/>
  <c r="X29" i="6"/>
  <c r="AN24" i="6"/>
  <c r="AN31" i="6" s="1"/>
  <c r="AN41" i="6" s="1"/>
  <c r="AN51" i="6" s="1"/>
  <c r="AN57" i="6" s="1"/>
  <c r="AN64" i="6" s="1"/>
  <c r="AN29" i="6"/>
  <c r="BD24" i="6"/>
  <c r="BD31" i="6" s="1"/>
  <c r="BD41" i="6" s="1"/>
  <c r="BD51" i="6" s="1"/>
  <c r="BD57" i="6" s="1"/>
  <c r="BD64" i="6" s="1"/>
  <c r="BD29" i="6"/>
  <c r="BT24" i="6"/>
  <c r="BT31" i="6" s="1"/>
  <c r="BT41" i="6" s="1"/>
  <c r="BT51" i="6" s="1"/>
  <c r="BT57" i="6" s="1"/>
  <c r="BT64" i="6" s="1"/>
  <c r="BT29" i="6"/>
  <c r="BN24" i="6"/>
  <c r="BN31" i="6" s="1"/>
  <c r="BN41" i="6" s="1"/>
  <c r="BN51" i="6" s="1"/>
  <c r="BN57" i="6" s="1"/>
  <c r="BN64" i="6" s="1"/>
  <c r="BN29" i="6"/>
  <c r="BB24" i="6"/>
  <c r="BB31" i="6" s="1"/>
  <c r="BB41" i="6" s="1"/>
  <c r="BB51" i="6" s="1"/>
  <c r="BB57" i="6" s="1"/>
  <c r="BB64" i="6" s="1"/>
  <c r="BB29" i="6"/>
  <c r="Z24" i="6"/>
  <c r="Z31" i="6" s="1"/>
  <c r="Z41" i="6" s="1"/>
  <c r="Z51" i="6" s="1"/>
  <c r="Z57" i="6" s="1"/>
  <c r="Z64" i="6" s="1"/>
  <c r="Z29" i="6"/>
  <c r="N24" i="6"/>
  <c r="N31" i="6" s="1"/>
  <c r="N41" i="6" s="1"/>
  <c r="N51" i="6" s="1"/>
  <c r="N57" i="6" s="1"/>
  <c r="N64" i="6" s="1"/>
  <c r="N29" i="6"/>
  <c r="AT24" i="6"/>
  <c r="AT31" i="6" s="1"/>
  <c r="AT41" i="6" s="1"/>
  <c r="AT51" i="6" s="1"/>
  <c r="AT57" i="6" s="1"/>
  <c r="AT64" i="6" s="1"/>
  <c r="AT29" i="6"/>
  <c r="Y29" i="6"/>
  <c r="Y24" i="6"/>
  <c r="Y31" i="6" s="1"/>
  <c r="Y41" i="6" s="1"/>
  <c r="Y51" i="6" s="1"/>
  <c r="Y57" i="6" s="1"/>
  <c r="Y64" i="6" s="1"/>
  <c r="BE29" i="6"/>
  <c r="BE24" i="6"/>
  <c r="BE31" i="6" s="1"/>
  <c r="BE41" i="6" s="1"/>
  <c r="BE51" i="6" s="1"/>
  <c r="BE57" i="6" s="1"/>
  <c r="BE64" i="6" s="1"/>
  <c r="BU29" i="6"/>
  <c r="BU24" i="6"/>
  <c r="BU31" i="6" s="1"/>
  <c r="BU41" i="6" s="1"/>
  <c r="BU51" i="6" s="1"/>
  <c r="BU57" i="6" s="1"/>
  <c r="BU64" i="6" s="1"/>
  <c r="G24" i="6"/>
  <c r="G31" i="6" s="1"/>
  <c r="G41" i="6" s="1"/>
  <c r="G51" i="6" s="1"/>
  <c r="G57" i="6" s="1"/>
  <c r="G64" i="6" s="1"/>
  <c r="G29" i="6"/>
  <c r="W24" i="6"/>
  <c r="W31" i="6" s="1"/>
  <c r="W41" i="6" s="1"/>
  <c r="W51" i="6" s="1"/>
  <c r="W57" i="6" s="1"/>
  <c r="W64" i="6" s="1"/>
  <c r="W29" i="6"/>
  <c r="AM24" i="6"/>
  <c r="AM31" i="6" s="1"/>
  <c r="AM41" i="6" s="1"/>
  <c r="AM51" i="6" s="1"/>
  <c r="AM57" i="6" s="1"/>
  <c r="AM64" i="6" s="1"/>
  <c r="AM29" i="6"/>
  <c r="BC24" i="6"/>
  <c r="BC31" i="6" s="1"/>
  <c r="BC41" i="6" s="1"/>
  <c r="BC51" i="6" s="1"/>
  <c r="BC57" i="6" s="1"/>
  <c r="BC64" i="6" s="1"/>
  <c r="BC29" i="6"/>
  <c r="BS24" i="6"/>
  <c r="BS31" i="6" s="1"/>
  <c r="BS41" i="6" s="1"/>
  <c r="BS51" i="6" s="1"/>
  <c r="BS57" i="6" s="1"/>
  <c r="BS64" i="6" s="1"/>
  <c r="BS29" i="6"/>
  <c r="L24" i="6"/>
  <c r="L31" i="6" s="1"/>
  <c r="L41" i="6" s="1"/>
  <c r="L51" i="6" s="1"/>
  <c r="L57" i="6" s="1"/>
  <c r="L64" i="6" s="1"/>
  <c r="L29" i="6"/>
  <c r="AB24" i="6"/>
  <c r="AB31" i="6" s="1"/>
  <c r="AB41" i="6" s="1"/>
  <c r="AB51" i="6" s="1"/>
  <c r="AB57" i="6" s="1"/>
  <c r="AB64" i="6" s="1"/>
  <c r="AB29" i="6"/>
  <c r="AR24" i="6"/>
  <c r="AR31" i="6" s="1"/>
  <c r="AR41" i="6" s="1"/>
  <c r="AR51" i="6" s="1"/>
  <c r="AR57" i="6" s="1"/>
  <c r="AR64" i="6" s="1"/>
  <c r="AR29" i="6"/>
  <c r="BH24" i="6"/>
  <c r="BH31" i="6" s="1"/>
  <c r="BH41" i="6" s="1"/>
  <c r="BH51" i="6" s="1"/>
  <c r="BH57" i="6" s="1"/>
  <c r="BH64" i="6" s="1"/>
  <c r="BH29" i="6"/>
  <c r="BX24" i="6"/>
  <c r="BX31" i="6" s="1"/>
  <c r="BX41" i="6" s="1"/>
  <c r="BX51" i="6" s="1"/>
  <c r="BX57" i="6" s="1"/>
  <c r="BX64" i="6" s="1"/>
  <c r="BX29" i="6"/>
  <c r="R24" i="6"/>
  <c r="R31" i="6" s="1"/>
  <c r="R41" i="6" s="1"/>
  <c r="R51" i="6" s="1"/>
  <c r="R57" i="6" s="1"/>
  <c r="R64" i="6" s="1"/>
  <c r="R29" i="6"/>
  <c r="F24" i="6"/>
  <c r="F31" i="6" s="1"/>
  <c r="F41" i="6" s="1"/>
  <c r="F51" i="6" s="1"/>
  <c r="F57" i="6" s="1"/>
  <c r="F64" i="6" s="1"/>
  <c r="F29" i="6"/>
  <c r="BR24" i="6"/>
  <c r="BR31" i="6" s="1"/>
  <c r="BR41" i="6" s="1"/>
  <c r="BR51" i="6" s="1"/>
  <c r="BR57" i="6" s="1"/>
  <c r="BR64" i="6" s="1"/>
  <c r="BR29" i="6"/>
  <c r="AP24" i="6"/>
  <c r="AP31" i="6" s="1"/>
  <c r="AP41" i="6" s="1"/>
  <c r="AP51" i="6" s="1"/>
  <c r="AP57" i="6" s="1"/>
  <c r="AP64" i="6" s="1"/>
  <c r="AP29" i="6"/>
  <c r="BJ24" i="6"/>
  <c r="BJ31" i="6" s="1"/>
  <c r="BJ41" i="6" s="1"/>
  <c r="BJ51" i="6" s="1"/>
  <c r="BJ57" i="6" s="1"/>
  <c r="BJ64" i="6" s="1"/>
  <c r="BJ29" i="6"/>
  <c r="BZ57" i="6" l="1"/>
  <c r="BZ64" i="6" s="1"/>
</calcChain>
</file>

<file path=xl/comments1.xml><?xml version="1.0" encoding="utf-8"?>
<comments xmlns="http://schemas.openxmlformats.org/spreadsheetml/2006/main">
  <authors>
    <author>Lance Adams</author>
  </authors>
  <commentList>
    <comment ref="BP21" authorId="0" guid="{B1ABA1F0-E3A5-485C-B708-2688B5DD4C01}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Hillsboro</t>
        </r>
      </text>
    </comment>
    <comment ref="AA22" authorId="0" guid="{CE10CAE6-B61E-4215-837C-58F9AAC29D06}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CSF</t>
        </r>
      </text>
    </comment>
    <comment ref="BD22" authorId="0" guid="{9977F441-E265-4558-8B23-35066D22DE75}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for Hutch Feedmill
</t>
        </r>
      </text>
    </comment>
    <comment ref="I45" authorId="0" guid="{5A0933FE-FB10-40BF-8597-9797EF8CBE14}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Cereal Mac 10.5 Pro</t>
        </r>
      </text>
    </comment>
    <comment ref="K45" authorId="0" guid="{643BCFC9-52A7-45BC-95C7-8089FB3F822E}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Ardent balance
55k Cereal Mac</t>
        </r>
      </text>
    </comment>
    <comment ref="N45" authorId="0" guid="{8B59C194-A61D-406A-9C74-8925F5BE6337}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Cereal Mac 10.5 pro</t>
        </r>
      </text>
    </comment>
    <comment ref="BG45" authorId="0" guid="{5EDDC8BE-48A8-4219-B773-0D418C4A1C52}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Ardent Wichita
</t>
        </r>
      </text>
    </comment>
    <comment ref="BH45" authorId="0" guid="{9C290225-D7B7-47E9-A2AF-C4CC9A28A572}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Ardent Wichita</t>
        </r>
      </text>
    </comment>
    <comment ref="BY45" authorId="0" guid="{9BE6A18B-95D7-4066-A203-C9F076AB8FC4}" shapeId="0">
      <text>
        <r>
          <rPr>
            <b/>
            <sz val="9"/>
            <color indexed="81"/>
            <rFont val="Tahoma"/>
            <charset val="1"/>
          </rPr>
          <t xml:space="preserve">Lance Adams:
</t>
        </r>
        <r>
          <rPr>
            <sz val="9"/>
            <color indexed="81"/>
            <rFont val="Tahoma"/>
            <charset val="1"/>
          </rPr>
          <t xml:space="preserve">LDC/Attebury Wash 1230 + Cereal Mac ND 100
Cereal Mac 150k JFM
</t>
        </r>
      </text>
    </comment>
    <comment ref="BY46" authorId="0" guid="{F156C337-1ACB-4EEC-ABD2-66A591DD5562}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JJ
</t>
        </r>
      </text>
    </comment>
    <comment ref="E47" authorId="0" guid="{242F5726-2B36-43F6-B5F0-7BC1F1872424}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Lansing FOB
</t>
        </r>
      </text>
    </comment>
    <comment ref="M47" authorId="0" guid="{D5A4CFC7-B19A-4AA2-9EDC-0DCDB6DD5870}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Lansing 147k
KE rest
</t>
        </r>
      </text>
    </comment>
    <comment ref="BS47" authorId="0" guid="{AB074FFE-D06E-4C02-8CC7-F4E145D56057}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Load board</t>
        </r>
      </text>
    </comment>
    <comment ref="BX47" authorId="0" guid="{A4288A43-DEC1-4064-8ADB-BA9C5768C304}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DS
</t>
        </r>
      </text>
    </comment>
    <comment ref="BY47" authorId="0" guid="{A0C38009-76BD-4C7F-8412-32A7ED6FDA83}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JJ
</t>
        </r>
      </text>
    </comment>
    <comment ref="BH48" authorId="0" guid="{A5E8DB8A-7BDE-4C72-8BFE-06E0D0F83295}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Bunge loadboard
</t>
        </r>
      </text>
    </comment>
    <comment ref="BI48" authorId="0" guid="{F73F7A31-4747-40CA-8E57-183AE6657B5C}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Bunge loadboard
</t>
        </r>
      </text>
    </comment>
    <comment ref="BK48" authorId="0" guid="{85CDD652-23C4-41A7-8EDD-5D9EE8323C58}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Bunge loadboard
</t>
        </r>
      </text>
    </comment>
    <comment ref="BL48" authorId="0" guid="{E879F4B4-3007-4BFB-90C8-9478EAFDB630}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Loadboard
</t>
        </r>
      </text>
    </comment>
    <comment ref="BS48" authorId="0" guid="{8D2E1E3B-5853-4216-8A2E-2D19782E7ACB}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Bunge loadboard
</t>
        </r>
      </text>
    </comment>
    <comment ref="BY48" authorId="0" guid="{706864CC-B47C-4665-94D5-2FEFF211E735}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DS?
</t>
        </r>
      </text>
    </comment>
    <comment ref="AR52" authorId="0" guid="{C6F1E5E3-EA3E-4C62-BF8A-C37BDE972137}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13s</t>
        </r>
      </text>
    </comment>
    <comment ref="BO52" authorId="0" guid="{F421C911-57F0-4520-A312-445A4662BC3E}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13's high IDK</t>
        </r>
      </text>
    </comment>
    <comment ref="BR52" authorId="0" guid="{80309BD8-B8C2-4685-BF20-15D04D428C9F}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13's</t>
        </r>
      </text>
    </comment>
    <comment ref="BX54" authorId="0" guid="{505E0289-E307-4030-8B7E-4168AD5F1B47}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DS/Commercial
</t>
        </r>
      </text>
    </comment>
    <comment ref="AO58" authorId="0" guid="{3E508864-C11A-407F-BE57-49FE41D44F96}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10.5s</t>
        </r>
      </text>
    </comment>
  </commentList>
</comments>
</file>

<file path=xl/comments2.xml><?xml version="1.0" encoding="utf-8"?>
<comments xmlns="http://schemas.openxmlformats.org/spreadsheetml/2006/main">
  <authors>
    <author>Lance Adams</author>
  </authors>
  <commentList>
    <comment ref="AU5" authorId="0" guid="{68F1D38A-DCDD-4B1F-89F6-D43C4A437CC8}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Lansing FOB
</t>
        </r>
      </text>
    </comment>
    <comment ref="AS9" authorId="0" guid="{CB467327-EB06-41C5-AA07-09F3F218F9EB}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Cereal Mac 10.5 Pro
</t>
        </r>
      </text>
    </comment>
    <comment ref="AS11" authorId="0" guid="{E240CA73-EBC9-4408-8F7B-39194BE01561}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Ardent balance
55k Cereal Mac
</t>
        </r>
      </text>
    </comment>
    <comment ref="AU13" authorId="0" guid="{CBF9B4F4-6D69-432B-95EF-E7F0B220ABE6}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Lansing 147k
KE rest
</t>
        </r>
      </text>
    </comment>
    <comment ref="AS14" authorId="0" guid="{65A84BF5-8621-4EC9-9468-660E533169C3}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Cereal Mac 10.5 pro
</t>
        </r>
      </text>
    </comment>
    <comment ref="V27" authorId="0" guid="{92E8D610-6F06-4753-A171-F787B2F6FC38}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CSF
</t>
        </r>
      </text>
    </comment>
    <comment ref="BF41" authorId="0" guid="{B6F45A20-C25B-456F-8BBA-B9BDF5010272}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10.5s
</t>
        </r>
      </text>
    </comment>
    <comment ref="AZ44" authorId="0" guid="{10D3E1EF-78BB-4824-9CFC-57EE6C97D413}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13s
</t>
        </r>
      </text>
    </comment>
    <comment ref="V56" authorId="0" guid="{2520D445-D001-46F8-98A3-45131E741E1C}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for Hutch Feedmill
</t>
        </r>
      </text>
    </comment>
    <comment ref="AS59" authorId="0" guid="{F608B17A-AE00-4B89-921E-F0F762878497}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Ardent Wichita
</t>
        </r>
      </text>
    </comment>
    <comment ref="AS60" authorId="0" guid="{9960E75A-43F5-4B78-8FAA-AACC4A598F0D}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Ardent Wichita
</t>
        </r>
      </text>
    </comment>
    <comment ref="AV60" authorId="0" guid="{520E5461-09FD-4F28-8883-BCFB464B9BE7}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Bunge loadboard
</t>
        </r>
      </text>
    </comment>
    <comment ref="AV61" authorId="0" guid="{C21D9C9F-A4C7-44A7-AA0F-A9E05BCA270D}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Bunge loadboard
</t>
        </r>
      </text>
    </comment>
    <comment ref="AV63" authorId="0" guid="{8176CDE2-E2B6-4E9C-86D0-9484968EC9E1}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Bunge loadboard
</t>
        </r>
      </text>
    </comment>
    <comment ref="AV64" authorId="0" guid="{D271FA3F-B2F3-4608-8519-AF063AB24376}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Loadboard
</t>
        </r>
      </text>
    </comment>
    <comment ref="AZ67" authorId="0" guid="{2D7059DB-9FC4-415D-8582-F072E7FC6DE5}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13's high IDK
</t>
        </r>
      </text>
    </comment>
    <comment ref="U68" authorId="0" guid="{0620255A-2DC3-4DCA-8B1C-DE9E2CED7AB3}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Hillsboro
</t>
        </r>
      </text>
    </comment>
    <comment ref="AZ70" authorId="0" guid="{421690ED-ECB3-429A-8780-1208F866734D}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13's
</t>
        </r>
      </text>
    </comment>
    <comment ref="AU71" authorId="0" guid="{8954FD33-A603-4E7A-B97A-09C8921FE80E}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Load board
</t>
        </r>
      </text>
    </comment>
    <comment ref="AV71" authorId="0" guid="{F82B555B-83A0-49DD-8777-B508FD046B28}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Bunge loadboard
</t>
        </r>
      </text>
    </comment>
    <comment ref="AU76" authorId="0" guid="{BD5B31CF-3836-4CCB-AF85-EBAF30F884B9}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DS
</t>
        </r>
      </text>
    </comment>
    <comment ref="BB76" authorId="0" guid="{1BC27BA0-70D5-4DCB-869D-899E91ECFF83}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DS/Commercial
</t>
        </r>
      </text>
    </comment>
    <comment ref="AS77" authorId="0" guid="{F0EDD705-4FF6-4F1E-A79F-AF9293011082}" shapeId="0">
      <text>
        <r>
          <rPr>
            <b/>
            <sz val="9"/>
            <color indexed="81"/>
            <rFont val="Tahoma"/>
            <charset val="1"/>
          </rPr>
          <t xml:space="preserve">Lance Adams:
</t>
        </r>
        <r>
          <rPr>
            <sz val="9"/>
            <color indexed="81"/>
            <rFont val="Tahoma"/>
            <charset val="1"/>
          </rPr>
          <t xml:space="preserve">LDC/Attebury Wash 1230 + Cereal Mac ND 100
Cereal Mac 150k JFM
</t>
        </r>
      </text>
    </comment>
    <comment ref="AT77" authorId="0" guid="{40D84215-276E-4291-9FC0-F18A8DF80E0B}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JJ
</t>
        </r>
      </text>
    </comment>
    <comment ref="AU77" authorId="0" guid="{24A5E3B9-75AE-418D-B2DB-A425232DA144}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JJ
</t>
        </r>
      </text>
    </comment>
    <comment ref="AV77" authorId="0" guid="{0AC67809-AB25-4BF9-9F28-AFDD854C0131}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DS?
</t>
        </r>
      </text>
    </comment>
  </commentList>
</comments>
</file>

<file path=xl/connections.xml><?xml version="1.0" encoding="utf-8"?>
<connections xmlns="http://schemas.openxmlformats.org/spreadsheetml/2006/main">
  <connection id="1" name="Connection" type="1" refreshedVersion="4" background="1" saveData="1">
    <dbPr connection="DSN=TMA64;UID=PUBLIC;" command="SELECT CA_POSITION_BALANCE.BRANCH_NUMBER, CA_POSITION_BALANCE.COMMODITY_CODE, CA_POSITION_BALANCE.DPR_POSITION, CA_POSITION_BALANCE.LBS_LIVE_x000d__x000a_FROM PUBLIC.CA_POSITION_BALANCE CA_POSITION_BALANCE_x000d__x000a_WHERE (CA_POSITION_BALANCE.COMMODITY_CODE='01' Or CA_POSITION_BALANCE.COMMODITY_CODE='02' Or CA_POSITION_BALANCE.COMMODITY_CODE='03' Or CA_POSITION_BALANCE.COMMODITY_CODE='04' Or CA_POSITION_BALANCE.COMMODITY_CODE='22') AND (CA_POSITION_BALANCE.DPR_POSITION&lt;300)_x000d__x000a_ORDER BY CA_POSITION_BALANCE.BRANCH_NUMBER, CA_POSITION_BALANCE.COMMODITY_CODE, CA_POSITION_BALANCE.DPR_POSITION"/>
  </connection>
  <connection id="2" name="Connection1" type="1" refreshedVersion="4" background="1" saveData="1">
    <dbPr connection="DSN=TMA64;UID=PUBLIC;" command="SELECT CA_POSITION_BALANCE.BRANCH_NUMBER, CA_POSITION_BALANCE.COMMODITY_CODE, CA_POSITION_BALANCE.DPR_POSITION, CA_POSITION_BALANCE.LBS_UPDATED_x000d__x000a_FROM PUBLIC.CA_POSITION_BALANCE CA_POSITION_BALANCE_x000d__x000a_WHERE (CA_POSITION_BALANCE.COMMODITY_CODE='01' Or CA_POSITION_BALANCE.COMMODITY_CODE='02' Or CA_POSITION_BALANCE.COMMODITY_CODE='03' Or CA_POSITION_BALANCE.COMMODITY_CODE='04' Or CA_POSITION_BALANCE.COMMODITY_CODE='22') _x000d__x000a_AND (CA_POSITION_BALANCE.DPR_POSITION=1000 Or CA_POSITION_BALANCE.DPR_POSITION=1010 Or CA_POSITION_BALANCE.DPR_POSITION=1080 Or CA_POSITION_BALANCE.DPR_POSITION=1098)"/>
  </connection>
</connections>
</file>

<file path=xl/sharedStrings.xml><?xml version="1.0" encoding="utf-8"?>
<sst xmlns="http://schemas.openxmlformats.org/spreadsheetml/2006/main" count="5769" uniqueCount="231">
  <si>
    <t>BUSHELS</t>
  </si>
  <si>
    <t>Total</t>
  </si>
  <si>
    <t>Wheat in Elevator</t>
  </si>
  <si>
    <t>Milo in Elevator</t>
  </si>
  <si>
    <t>Corn in Elevator</t>
  </si>
  <si>
    <t>Beans in Elevator</t>
  </si>
  <si>
    <t>Total Grain in Elevator</t>
  </si>
  <si>
    <t>Grain in Elev after Liab</t>
  </si>
  <si>
    <t>90% Upright Capacity</t>
  </si>
  <si>
    <t>90% Flat Capacity</t>
  </si>
  <si>
    <t>Lisc. unused space</t>
  </si>
  <si>
    <t>Grain in Elevator</t>
  </si>
  <si>
    <t>Total Harvest Space</t>
  </si>
  <si>
    <t>Long or Short</t>
  </si>
  <si>
    <t>Boxed areas should be filled in by branch person for their location and faxed back to Moundridge office.</t>
  </si>
  <si>
    <t>Estimated Corn Rec</t>
  </si>
  <si>
    <t>Estimated Bean Rec</t>
  </si>
  <si>
    <t>Grain in elev after liab</t>
  </si>
  <si>
    <t>Wheat</t>
  </si>
  <si>
    <t>Milo</t>
  </si>
  <si>
    <t>Corn</t>
  </si>
  <si>
    <t>Beans</t>
  </si>
  <si>
    <t xml:space="preserve">Wheat </t>
  </si>
  <si>
    <t xml:space="preserve">Milo </t>
  </si>
  <si>
    <t xml:space="preserve">Corn </t>
  </si>
  <si>
    <t>Corn sales</t>
  </si>
  <si>
    <t>Milo to feed</t>
  </si>
  <si>
    <t>Corn to feed</t>
  </si>
  <si>
    <t>Bavaria171</t>
  </si>
  <si>
    <t>Bridgpt101</t>
  </si>
  <si>
    <t>Buhler21</t>
  </si>
  <si>
    <t>Conway121</t>
  </si>
  <si>
    <t>Castleton111</t>
  </si>
  <si>
    <t>Elyria131</t>
  </si>
  <si>
    <t>Falun141</t>
  </si>
  <si>
    <t>Galva91</t>
  </si>
  <si>
    <t>Grovland31</t>
  </si>
  <si>
    <t>Haven71</t>
  </si>
  <si>
    <t>Hilton183</t>
  </si>
  <si>
    <t>Lindbrg61</t>
  </si>
  <si>
    <t>Mdge11</t>
  </si>
  <si>
    <t>Marlin182</t>
  </si>
  <si>
    <t>Hicky181</t>
  </si>
  <si>
    <t>Windm161</t>
  </si>
  <si>
    <t>Roxby151</t>
  </si>
  <si>
    <t>Gossl81</t>
  </si>
  <si>
    <t>Mcterm185</t>
  </si>
  <si>
    <t>Wichita205</t>
  </si>
  <si>
    <t>Walton212</t>
  </si>
  <si>
    <t>Peabody222</t>
  </si>
  <si>
    <t>Burns242</t>
  </si>
  <si>
    <t>Flornc252</t>
  </si>
  <si>
    <t>Newton262</t>
  </si>
  <si>
    <t>Whitwat272</t>
  </si>
  <si>
    <t>Mclain282</t>
  </si>
  <si>
    <t>Benton292</t>
  </si>
  <si>
    <t>Hillboro311</t>
  </si>
  <si>
    <t>Lehigh331</t>
  </si>
  <si>
    <t>Marion341</t>
  </si>
  <si>
    <t>Canton351</t>
  </si>
  <si>
    <t>Canada361</t>
  </si>
  <si>
    <t>Hal432-433</t>
  </si>
  <si>
    <t>Mthope442</t>
  </si>
  <si>
    <t>Patter443</t>
  </si>
  <si>
    <t>Nicker510</t>
  </si>
  <si>
    <t>Hutch520</t>
  </si>
  <si>
    <t>Whitsd530</t>
  </si>
  <si>
    <t>Partdg540</t>
  </si>
  <si>
    <t>Estimated Milo Rec</t>
  </si>
  <si>
    <t>Milo Sales</t>
  </si>
  <si>
    <t>Wheat sales</t>
  </si>
  <si>
    <t>Ship to Farmland</t>
  </si>
  <si>
    <t>Wheat Sales</t>
  </si>
  <si>
    <t>Bean Sales</t>
  </si>
  <si>
    <t>Corn Sales</t>
  </si>
  <si>
    <t>Ship to McPher. Term</t>
  </si>
  <si>
    <t xml:space="preserve">Corn Sales </t>
  </si>
  <si>
    <t>Sunseeds in Elevator</t>
  </si>
  <si>
    <t>Estimated Wheat Rec</t>
  </si>
  <si>
    <t>Estimated Wheat Re</t>
  </si>
  <si>
    <t>Sunseed Sales</t>
  </si>
  <si>
    <t>Sunseeds</t>
  </si>
  <si>
    <t>Adjusted Long or Short</t>
  </si>
  <si>
    <t>Adj Long or Short</t>
  </si>
  <si>
    <t xml:space="preserve">Adj Long or Short </t>
  </si>
  <si>
    <t>Estmated Wheat Rec</t>
  </si>
  <si>
    <t>Sunseeeds</t>
  </si>
  <si>
    <t xml:space="preserve">Estimated Wheat </t>
  </si>
  <si>
    <t>rec</t>
  </si>
  <si>
    <t>Adjusted Long or Sh</t>
  </si>
  <si>
    <t>Sunseeds Sale</t>
  </si>
  <si>
    <t>Ship to Mcpher. Term</t>
  </si>
  <si>
    <t xml:space="preserve">Ship to McPher. Term </t>
  </si>
  <si>
    <t>Estimated Seed Rec</t>
  </si>
  <si>
    <t>Bunker215</t>
  </si>
  <si>
    <t>Estimated Flower Rec</t>
  </si>
  <si>
    <t>Estimated Flower Rc</t>
  </si>
  <si>
    <t>Grain in Elev after liab</t>
  </si>
  <si>
    <t>Ship to FGC Term</t>
  </si>
  <si>
    <t>Bunker</t>
  </si>
  <si>
    <t>Estimated Sunseeds Rec</t>
  </si>
  <si>
    <t>Estimated Sunseed Rec</t>
  </si>
  <si>
    <t>Greenleaf601</t>
  </si>
  <si>
    <t>Washington602</t>
  </si>
  <si>
    <t>Linn603</t>
  </si>
  <si>
    <t>Haddam605</t>
  </si>
  <si>
    <t>Marq191</t>
  </si>
  <si>
    <t>Bunker  215</t>
  </si>
  <si>
    <t>Partrig540</t>
  </si>
  <si>
    <t>Marq 191</t>
  </si>
  <si>
    <t>Elyria 131</t>
  </si>
  <si>
    <t>Castlet 111</t>
  </si>
  <si>
    <t>Buhler 21</t>
  </si>
  <si>
    <t>Bridge 101</t>
  </si>
  <si>
    <t>Bavaria 171</t>
  </si>
  <si>
    <t>Wheat Transfer</t>
  </si>
  <si>
    <t>Bean Transfer</t>
  </si>
  <si>
    <t>01</t>
  </si>
  <si>
    <t>02</t>
  </si>
  <si>
    <t>03</t>
  </si>
  <si>
    <t>04</t>
  </si>
  <si>
    <t>22</t>
  </si>
  <si>
    <t>Grand Total</t>
  </si>
  <si>
    <t>BRANCH_NUMBER</t>
  </si>
  <si>
    <t>COMMODITY_CODE</t>
  </si>
  <si>
    <t>DPR_POSITION</t>
  </si>
  <si>
    <t>ADJBAL</t>
  </si>
  <si>
    <t>Sum of ADJBAL</t>
  </si>
  <si>
    <t>LBS_UPDATED</t>
  </si>
  <si>
    <t>Sum of LBS_UPDATED</t>
  </si>
  <si>
    <t>Other Grains</t>
  </si>
  <si>
    <t>Estimated Other Wheat Rec</t>
  </si>
  <si>
    <t>Temporary Storage</t>
  </si>
  <si>
    <t>Click on Icon Below to update Long Short Data Sheet</t>
  </si>
  <si>
    <t>Feed Milo Pre Harvest</t>
  </si>
  <si>
    <t>Feed Corn Pre Harvest</t>
  </si>
  <si>
    <t>Feed Milo Post Harvest</t>
  </si>
  <si>
    <t>Feed Corn Post Harvest</t>
  </si>
  <si>
    <t>`</t>
  </si>
  <si>
    <t>Bennington196</t>
  </si>
  <si>
    <t>Abilene195</t>
  </si>
  <si>
    <t>Culver198</t>
  </si>
  <si>
    <t>Longford193</t>
  </si>
  <si>
    <t>Solomon194</t>
  </si>
  <si>
    <t>Talmage192</t>
  </si>
  <si>
    <t>Hillsboro Bunker315</t>
  </si>
  <si>
    <t>Patterson Bunker 445</t>
  </si>
  <si>
    <t>Walton Bunker215</t>
  </si>
  <si>
    <t>Unallocated</t>
  </si>
  <si>
    <t>Elmo565</t>
  </si>
  <si>
    <t>Total Adjusted Space</t>
  </si>
  <si>
    <t>Wheat to sell</t>
  </si>
  <si>
    <t>Milo to sell</t>
  </si>
  <si>
    <t>Corn to sell</t>
  </si>
  <si>
    <t>Beans to sell</t>
  </si>
  <si>
    <t>Sunflowers to sell</t>
  </si>
  <si>
    <t>Wheat sold not allocated</t>
  </si>
  <si>
    <t>Milo sold not allocated</t>
  </si>
  <si>
    <t>Corn sold not allocated</t>
  </si>
  <si>
    <t>Beans sold not allocated</t>
  </si>
  <si>
    <t>Sunflowers sold not allocated</t>
  </si>
  <si>
    <t>CORN/04</t>
  </si>
  <si>
    <t>Oct</t>
  </si>
  <si>
    <t>FEED YARD SPECS ON AFLOTOXIN</t>
  </si>
  <si>
    <t>Marq Bunker 190</t>
  </si>
  <si>
    <t>Alden541</t>
  </si>
  <si>
    <t>Bushton542</t>
  </si>
  <si>
    <t>Chase543</t>
  </si>
  <si>
    <t>Claflin544</t>
  </si>
  <si>
    <t>Frederick545</t>
  </si>
  <si>
    <t>Geneseo546</t>
  </si>
  <si>
    <t>Lorraine547</t>
  </si>
  <si>
    <t>Lyons548</t>
  </si>
  <si>
    <t>Pollard549</t>
  </si>
  <si>
    <t>Saxman550</t>
  </si>
  <si>
    <t>Sterling551</t>
  </si>
  <si>
    <t>Bentley 447</t>
  </si>
  <si>
    <t xml:space="preserve">Rice County187 </t>
  </si>
  <si>
    <t>Onaga295</t>
  </si>
  <si>
    <t>Alta Vista294</t>
  </si>
  <si>
    <t>Manhattan293</t>
  </si>
  <si>
    <t>Canton Term560</t>
  </si>
  <si>
    <t>Canton Term561</t>
  </si>
  <si>
    <t>Corn Transfer</t>
  </si>
  <si>
    <t>Alta Vista Bunker 296</t>
  </si>
  <si>
    <t>Alta Vista</t>
  </si>
  <si>
    <t>Great Bend Feeding</t>
  </si>
  <si>
    <t>MKC (N)</t>
  </si>
  <si>
    <t>Jantz</t>
  </si>
  <si>
    <t>Rice Bunker188</t>
  </si>
  <si>
    <t xml:space="preserve"> </t>
  </si>
  <si>
    <t>GrovBunk32</t>
  </si>
  <si>
    <t>BentBunker291</t>
  </si>
  <si>
    <t>Yoder566</t>
  </si>
  <si>
    <t>Canton Sold Not Allocated</t>
  </si>
  <si>
    <t>New Crop to Sell</t>
  </si>
  <si>
    <t>TalBunk200</t>
  </si>
  <si>
    <t>Burns Bunker 245</t>
  </si>
  <si>
    <t>90% Space</t>
  </si>
  <si>
    <t>To Sell Wheat 2017</t>
  </si>
  <si>
    <t>SHIPMENT</t>
  </si>
  <si>
    <t>ORIGIN</t>
  </si>
  <si>
    <t>TRUCK</t>
  </si>
  <si>
    <t>RATE</t>
  </si>
  <si>
    <t>PAR</t>
  </si>
  <si>
    <t>LOADS</t>
  </si>
  <si>
    <t>Flint Hills</t>
  </si>
  <si>
    <t>Oct/Nov</t>
  </si>
  <si>
    <t>Interstate Grain</t>
  </si>
  <si>
    <t>Nov/Dec</t>
  </si>
  <si>
    <t>Hansen Mueller</t>
  </si>
  <si>
    <t>CHS</t>
  </si>
  <si>
    <t>3419 (CHS #705852)</t>
  </si>
  <si>
    <t>Agri-trails</t>
  </si>
  <si>
    <t>Sunflower</t>
  </si>
  <si>
    <t>Commerce Brokerage</t>
  </si>
  <si>
    <t>Hannebaum</t>
  </si>
  <si>
    <t>FOB</t>
  </si>
  <si>
    <t>Ag Choice</t>
  </si>
  <si>
    <t>Nov</t>
  </si>
  <si>
    <t>Osage City</t>
  </si>
  <si>
    <t>Kramer Trucking</t>
  </si>
  <si>
    <t>Golden Valley</t>
  </si>
  <si>
    <t>Sanford</t>
  </si>
  <si>
    <t>F &amp; C</t>
  </si>
  <si>
    <t>Smart</t>
  </si>
  <si>
    <t>(blank)</t>
  </si>
  <si>
    <t>LBS_LIVE</t>
  </si>
  <si>
    <t>Branch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</si>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</sst>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7" x14ac:knownFonts="1">
    <font>
      <sz val="10"/>
      <name val="Arial"/>
    </font>
    <font>
      <b/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7"/>
      <name val="Arial"/>
      <family val="2"/>
    </font>
    <font>
      <sz val="10"/>
      <color indexed="17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color indexed="17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sz val="10"/>
      <color rgb="FF0070C0"/>
      <name val="Arial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rgb="FF0066FF"/>
      <name val="Arial"/>
      <family val="2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2" fillId="0" borderId="0"/>
  </cellStyleXfs>
  <cellXfs count="186">
    <xf numFmtId="0" fontId="0" fillId="0" borderId="0" xfId="0"/>
    <xf numFmtId="0" fontId="1" fillId="0" borderId="0" xfId="0" applyFont="1"/>
    <xf numFmtId="3" fontId="0" fillId="0" borderId="0" xfId="0" applyNumberFormat="1"/>
    <xf numFmtId="0" fontId="1" fillId="0" borderId="0" xfId="0" applyFont="1" applyAlignment="1">
      <alignment horizontal="centerContinuous"/>
    </xf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0" fontId="0" fillId="0" borderId="4" xfId="0" applyBorder="1"/>
    <xf numFmtId="3" fontId="0" fillId="0" borderId="4" xfId="0" applyNumberForma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Continuous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3" fontId="4" fillId="0" borderId="0" xfId="0" applyNumberFormat="1" applyFont="1"/>
    <xf numFmtId="164" fontId="0" fillId="0" borderId="4" xfId="1" applyNumberFormat="1" applyFont="1" applyBorder="1"/>
    <xf numFmtId="164" fontId="0" fillId="0" borderId="0" xfId="1" applyNumberFormat="1" applyFont="1"/>
    <xf numFmtId="164" fontId="0" fillId="0" borderId="0" xfId="0" applyNumberFormat="1"/>
    <xf numFmtId="164" fontId="4" fillId="0" borderId="0" xfId="0" applyNumberFormat="1" applyFont="1"/>
    <xf numFmtId="3" fontId="0" fillId="0" borderId="5" xfId="0" applyNumberFormat="1" applyBorder="1"/>
    <xf numFmtId="3" fontId="0" fillId="0" borderId="6" xfId="0" applyNumberFormat="1" applyBorder="1"/>
    <xf numFmtId="3" fontId="0" fillId="0" borderId="7" xfId="0" applyNumberFormat="1" applyBorder="1"/>
    <xf numFmtId="0" fontId="0" fillId="0" borderId="8" xfId="0" applyBorder="1"/>
    <xf numFmtId="3" fontId="0" fillId="0" borderId="8" xfId="0" applyNumberFormat="1" applyBorder="1"/>
    <xf numFmtId="0" fontId="1" fillId="0" borderId="0" xfId="0" applyFont="1" applyFill="1" applyBorder="1"/>
    <xf numFmtId="0" fontId="4" fillId="0" borderId="2" xfId="0" applyFont="1" applyBorder="1"/>
    <xf numFmtId="3" fontId="0" fillId="0" borderId="9" xfId="0" applyNumberFormat="1" applyBorder="1"/>
    <xf numFmtId="0" fontId="4" fillId="0" borderId="10" xfId="0" applyFont="1" applyBorder="1"/>
    <xf numFmtId="3" fontId="0" fillId="0" borderId="11" xfId="0" applyNumberFormat="1" applyBorder="1"/>
    <xf numFmtId="3" fontId="0" fillId="0" borderId="12" xfId="0" applyNumberFormat="1" applyBorder="1"/>
    <xf numFmtId="3" fontId="0" fillId="0" borderId="13" xfId="0" applyNumberFormat="1" applyBorder="1"/>
    <xf numFmtId="3" fontId="0" fillId="0" borderId="14" xfId="0" applyNumberFormat="1" applyBorder="1"/>
    <xf numFmtId="3" fontId="0" fillId="0" borderId="0" xfId="0" applyNumberFormat="1" applyBorder="1"/>
    <xf numFmtId="0" fontId="1" fillId="0" borderId="0" xfId="0" applyFont="1" applyBorder="1"/>
    <xf numFmtId="0" fontId="0" fillId="0" borderId="0" xfId="0" applyBorder="1"/>
    <xf numFmtId="164" fontId="0" fillId="0" borderId="0" xfId="1" applyNumberFormat="1" applyFont="1" applyBorder="1"/>
    <xf numFmtId="164" fontId="0" fillId="0" borderId="0" xfId="0" applyNumberFormat="1" applyBorder="1"/>
    <xf numFmtId="0" fontId="1" fillId="0" borderId="4" xfId="0" applyFont="1" applyBorder="1"/>
    <xf numFmtId="0" fontId="5" fillId="0" borderId="4" xfId="0" applyFont="1" applyBorder="1" applyAlignment="1">
      <alignment horizontal="centerContinuous"/>
    </xf>
    <xf numFmtId="0" fontId="5" fillId="0" borderId="4" xfId="0" applyFont="1" applyBorder="1" applyAlignment="1">
      <alignment horizontal="left"/>
    </xf>
    <xf numFmtId="3" fontId="0" fillId="0" borderId="15" xfId="0" applyNumberFormat="1" applyBorder="1"/>
    <xf numFmtId="3" fontId="0" fillId="0" borderId="16" xfId="0" applyNumberFormat="1" applyBorder="1"/>
    <xf numFmtId="164" fontId="0" fillId="0" borderId="10" xfId="1" applyNumberFormat="1" applyFont="1" applyBorder="1"/>
    <xf numFmtId="164" fontId="0" fillId="0" borderId="17" xfId="1" applyNumberFormat="1" applyFont="1" applyBorder="1"/>
    <xf numFmtId="164" fontId="0" fillId="0" borderId="18" xfId="1" applyNumberFormat="1" applyFont="1" applyBorder="1"/>
    <xf numFmtId="0" fontId="0" fillId="0" borderId="15" xfId="0" applyBorder="1"/>
    <xf numFmtId="164" fontId="0" fillId="0" borderId="16" xfId="0" applyNumberFormat="1" applyBorder="1"/>
    <xf numFmtId="0" fontId="5" fillId="0" borderId="4" xfId="0" applyFont="1" applyBorder="1" applyAlignment="1">
      <alignment horizontal="center"/>
    </xf>
    <xf numFmtId="3" fontId="0" fillId="0" borderId="19" xfId="0" applyNumberFormat="1" applyBorder="1"/>
    <xf numFmtId="0" fontId="0" fillId="0" borderId="20" xfId="0" applyBorder="1"/>
    <xf numFmtId="164" fontId="0" fillId="0" borderId="19" xfId="0" applyNumberFormat="1" applyBorder="1"/>
    <xf numFmtId="0" fontId="4" fillId="0" borderId="4" xfId="0" applyFont="1" applyBorder="1"/>
    <xf numFmtId="0" fontId="1" fillId="0" borderId="21" xfId="0" applyFont="1" applyBorder="1"/>
    <xf numFmtId="0" fontId="0" fillId="0" borderId="21" xfId="0" applyBorder="1"/>
    <xf numFmtId="0" fontId="3" fillId="0" borderId="21" xfId="0" applyFont="1" applyBorder="1"/>
    <xf numFmtId="0" fontId="4" fillId="0" borderId="21" xfId="0" applyFont="1" applyBorder="1"/>
    <xf numFmtId="3" fontId="0" fillId="0" borderId="10" xfId="0" applyNumberFormat="1" applyBorder="1"/>
    <xf numFmtId="3" fontId="0" fillId="0" borderId="17" xfId="0" applyNumberFormat="1" applyBorder="1"/>
    <xf numFmtId="3" fontId="0" fillId="0" borderId="18" xfId="0" applyNumberFormat="1" applyBorder="1"/>
    <xf numFmtId="0" fontId="11" fillId="0" borderId="0" xfId="0" applyFont="1"/>
    <xf numFmtId="0" fontId="12" fillId="0" borderId="0" xfId="0" applyFont="1"/>
    <xf numFmtId="3" fontId="10" fillId="0" borderId="0" xfId="0" applyNumberFormat="1" applyFont="1" applyFill="1" applyProtection="1"/>
    <xf numFmtId="0" fontId="7" fillId="0" borderId="0" xfId="0" applyFont="1" applyFill="1" applyProtection="1">
      <protection locked="0"/>
    </xf>
    <xf numFmtId="0" fontId="2" fillId="0" borderId="0" xfId="0" applyFont="1" applyFill="1" applyProtection="1">
      <protection locked="0"/>
    </xf>
    <xf numFmtId="164" fontId="2" fillId="0" borderId="4" xfId="1" applyNumberFormat="1" applyFont="1" applyFill="1" applyBorder="1" applyProtection="1">
      <protection locked="0"/>
    </xf>
    <xf numFmtId="164" fontId="17" fillId="0" borderId="4" xfId="1" applyNumberFormat="1" applyFont="1" applyFill="1" applyBorder="1" applyProtection="1">
      <protection locked="0"/>
    </xf>
    <xf numFmtId="3" fontId="2" fillId="0" borderId="0" xfId="0" applyNumberFormat="1" applyFont="1" applyFill="1" applyProtection="1">
      <protection locked="0"/>
    </xf>
    <xf numFmtId="164" fontId="18" fillId="0" borderId="4" xfId="1" applyNumberFormat="1" applyFont="1" applyFill="1" applyBorder="1" applyProtection="1">
      <protection locked="0"/>
    </xf>
    <xf numFmtId="164" fontId="19" fillId="0" borderId="4" xfId="1" applyNumberFormat="1" applyFont="1" applyFill="1" applyBorder="1" applyProtection="1">
      <protection locked="0"/>
    </xf>
    <xf numFmtId="0" fontId="13" fillId="0" borderId="22" xfId="0" applyFont="1" applyBorder="1"/>
    <xf numFmtId="0" fontId="13" fillId="0" borderId="22" xfId="0" applyNumberFormat="1" applyFont="1" applyBorder="1"/>
    <xf numFmtId="0" fontId="13" fillId="0" borderId="23" xfId="0" applyFont="1" applyBorder="1"/>
    <xf numFmtId="0" fontId="13" fillId="0" borderId="23" xfId="0" applyNumberFormat="1" applyFont="1" applyBorder="1"/>
    <xf numFmtId="0" fontId="4" fillId="0" borderId="0" xfId="0" applyFont="1" applyFill="1" applyProtection="1">
      <protection locked="0"/>
    </xf>
    <xf numFmtId="49" fontId="4" fillId="0" borderId="0" xfId="0" applyNumberFormat="1" applyFont="1" applyFill="1" applyAlignment="1" applyProtection="1">
      <alignment horizontal="center"/>
      <protection locked="0"/>
    </xf>
    <xf numFmtId="0" fontId="4" fillId="0" borderId="0" xfId="0" applyFont="1" applyFill="1" applyAlignment="1" applyProtection="1">
      <alignment horizontal="center"/>
      <protection locked="0"/>
    </xf>
    <xf numFmtId="3" fontId="7" fillId="0" borderId="0" xfId="0" applyNumberFormat="1" applyFont="1" applyFill="1" applyProtection="1">
      <protection locked="0"/>
    </xf>
    <xf numFmtId="3" fontId="7" fillId="0" borderId="0" xfId="0" applyNumberFormat="1" applyFont="1" applyFill="1" applyBorder="1" applyProtection="1">
      <protection locked="0"/>
    </xf>
    <xf numFmtId="3" fontId="7" fillId="0" borderId="0" xfId="0" applyNumberFormat="1" applyFont="1" applyFill="1" applyProtection="1"/>
    <xf numFmtId="0" fontId="6" fillId="0" borderId="0" xfId="0" applyFont="1" applyFill="1" applyProtection="1">
      <protection locked="0"/>
    </xf>
    <xf numFmtId="3" fontId="6" fillId="0" borderId="0" xfId="0" applyNumberFormat="1" applyFont="1" applyFill="1" applyProtection="1"/>
    <xf numFmtId="3" fontId="2" fillId="0" borderId="0" xfId="0" applyNumberFormat="1" applyFont="1" applyFill="1" applyProtection="1"/>
    <xf numFmtId="3" fontId="2" fillId="0" borderId="0" xfId="0" applyNumberFormat="1" applyFont="1" applyFill="1" applyBorder="1" applyProtection="1">
      <protection locked="0"/>
    </xf>
    <xf numFmtId="3" fontId="2" fillId="0" borderId="11" xfId="0" applyNumberFormat="1" applyFont="1" applyFill="1" applyBorder="1" applyProtection="1">
      <protection locked="0"/>
    </xf>
    <xf numFmtId="3" fontId="2" fillId="0" borderId="1" xfId="0" applyNumberFormat="1" applyFont="1" applyFill="1" applyBorder="1" applyProtection="1">
      <protection locked="0"/>
    </xf>
    <xf numFmtId="3" fontId="2" fillId="0" borderId="2" xfId="0" applyNumberFormat="1" applyFont="1" applyFill="1" applyBorder="1" applyProtection="1">
      <protection locked="0"/>
    </xf>
    <xf numFmtId="3" fontId="2" fillId="0" borderId="3" xfId="0" applyNumberFormat="1" applyFont="1" applyFill="1" applyBorder="1" applyProtection="1">
      <protection locked="0"/>
    </xf>
    <xf numFmtId="3" fontId="2" fillId="0" borderId="0" xfId="0" applyNumberFormat="1" applyFont="1" applyFill="1" applyBorder="1" applyProtection="1"/>
    <xf numFmtId="3" fontId="0" fillId="0" borderId="1" xfId="0" applyNumberFormat="1" applyFill="1" applyBorder="1" applyProtection="1">
      <protection locked="0"/>
    </xf>
    <xf numFmtId="3" fontId="0" fillId="0" borderId="2" xfId="0" applyNumberFormat="1" applyFill="1" applyBorder="1" applyProtection="1">
      <protection locked="0"/>
    </xf>
    <xf numFmtId="3" fontId="0" fillId="0" borderId="3" xfId="0" applyNumberFormat="1" applyFill="1" applyBorder="1" applyProtection="1">
      <protection locked="0"/>
    </xf>
    <xf numFmtId="3" fontId="0" fillId="0" borderId="5" xfId="0" applyNumberFormat="1" applyFill="1" applyBorder="1" applyProtection="1">
      <protection locked="0"/>
    </xf>
    <xf numFmtId="3" fontId="0" fillId="0" borderId="6" xfId="0" applyNumberFormat="1" applyFill="1" applyBorder="1" applyProtection="1">
      <protection locked="0"/>
    </xf>
    <xf numFmtId="0" fontId="2" fillId="0" borderId="4" xfId="0" applyFont="1" applyFill="1" applyBorder="1" applyProtection="1">
      <protection locked="0"/>
    </xf>
    <xf numFmtId="164" fontId="2" fillId="0" borderId="0" xfId="1" applyNumberFormat="1" applyFont="1" applyFill="1" applyBorder="1" applyProtection="1">
      <protection locked="0"/>
    </xf>
    <xf numFmtId="164" fontId="20" fillId="0" borderId="4" xfId="1" applyNumberFormat="1" applyFont="1" applyFill="1" applyBorder="1" applyProtection="1">
      <protection locked="0"/>
    </xf>
    <xf numFmtId="0" fontId="21" fillId="0" borderId="4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22" fillId="0" borderId="4" xfId="0" applyFont="1" applyFill="1" applyBorder="1" applyAlignment="1">
      <alignment horizontal="center"/>
    </xf>
    <xf numFmtId="0" fontId="0" fillId="0" borderId="4" xfId="0" quotePrefix="1" applyFont="1" applyFill="1" applyBorder="1" applyAlignment="1">
      <alignment horizontal="center"/>
    </xf>
    <xf numFmtId="3" fontId="0" fillId="0" borderId="4" xfId="0" applyNumberFormat="1" applyFont="1" applyFill="1" applyBorder="1" applyAlignment="1">
      <alignment horizontal="center"/>
    </xf>
    <xf numFmtId="0" fontId="12" fillId="0" borderId="24" xfId="0" applyFont="1" applyBorder="1"/>
    <xf numFmtId="164" fontId="2" fillId="0" borderId="4" xfId="1" applyNumberFormat="1" applyFont="1" applyFill="1" applyBorder="1" applyAlignment="1" applyProtection="1">
      <alignment horizontal="center"/>
      <protection locked="0"/>
    </xf>
    <xf numFmtId="164" fontId="20" fillId="0" borderId="4" xfId="1" applyNumberFormat="1" applyFont="1" applyFill="1" applyBorder="1" applyAlignment="1" applyProtection="1">
      <alignment horizontal="center"/>
      <protection locked="0"/>
    </xf>
    <xf numFmtId="0" fontId="19" fillId="0" borderId="4" xfId="0" applyFont="1" applyFill="1" applyBorder="1" applyProtection="1">
      <protection locked="0"/>
    </xf>
    <xf numFmtId="164" fontId="4" fillId="0" borderId="4" xfId="1" applyNumberFormat="1" applyFont="1" applyFill="1" applyBorder="1" applyProtection="1">
      <protection locked="0"/>
    </xf>
    <xf numFmtId="164" fontId="17" fillId="0" borderId="4" xfId="0" applyNumberFormat="1" applyFont="1" applyFill="1" applyBorder="1" applyProtection="1">
      <protection locked="0"/>
    </xf>
    <xf numFmtId="0" fontId="0" fillId="0" borderId="0" xfId="0" applyNumberFormat="1"/>
    <xf numFmtId="0" fontId="2" fillId="0" borderId="4" xfId="1" applyNumberFormat="1" applyFont="1" applyFill="1" applyBorder="1" applyProtection="1">
      <protection locked="0"/>
    </xf>
    <xf numFmtId="0" fontId="0" fillId="0" borderId="0" xfId="0" applyNumberFormat="1" applyFont="1"/>
    <xf numFmtId="164" fontId="0" fillId="0" borderId="0" xfId="0" applyNumberFormat="1" applyFont="1" applyFill="1" applyProtection="1">
      <protection locked="0"/>
    </xf>
    <xf numFmtId="164" fontId="0" fillId="0" borderId="4" xfId="1" applyNumberFormat="1" applyFont="1" applyFill="1" applyBorder="1" applyProtection="1">
      <protection locked="0"/>
    </xf>
    <xf numFmtId="0" fontId="2" fillId="0" borderId="4" xfId="1" applyNumberFormat="1" applyFont="1" applyFill="1" applyBorder="1" applyAlignment="1" applyProtection="1">
      <protection locked="0"/>
    </xf>
    <xf numFmtId="0" fontId="2" fillId="0" borderId="0" xfId="0" applyNumberFormat="1" applyFont="1" applyFill="1" applyProtection="1">
      <protection locked="0"/>
    </xf>
    <xf numFmtId="3" fontId="6" fillId="0" borderId="0" xfId="0" applyNumberFormat="1" applyFont="1" applyFill="1" applyProtection="1">
      <protection locked="0"/>
    </xf>
    <xf numFmtId="0" fontId="0" fillId="0" borderId="4" xfId="0" applyNumberFormat="1" applyBorder="1"/>
    <xf numFmtId="0" fontId="0" fillId="0" borderId="4" xfId="0" applyNumberFormat="1" applyFont="1" applyBorder="1"/>
    <xf numFmtId="0" fontId="0" fillId="0" borderId="4" xfId="0" applyFont="1" applyBorder="1"/>
    <xf numFmtId="0" fontId="0" fillId="0" borderId="4" xfId="0" applyNumberFormat="1" applyBorder="1" applyAlignment="1"/>
    <xf numFmtId="164" fontId="0" fillId="0" borderId="4" xfId="0" applyNumberFormat="1" applyFont="1" applyFill="1" applyBorder="1" applyProtection="1"/>
    <xf numFmtId="164" fontId="0" fillId="0" borderId="4" xfId="0" applyNumberFormat="1" applyBorder="1"/>
    <xf numFmtId="0" fontId="23" fillId="0" borderId="0" xfId="0" applyFont="1" applyFill="1" applyProtection="1">
      <protection locked="0"/>
    </xf>
    <xf numFmtId="3" fontId="23" fillId="0" borderId="0" xfId="0" applyNumberFormat="1" applyFont="1" applyFill="1" applyProtection="1">
      <protection locked="0"/>
    </xf>
    <xf numFmtId="3" fontId="23" fillId="0" borderId="0" xfId="0" applyNumberFormat="1" applyFont="1" applyFill="1" applyProtection="1"/>
    <xf numFmtId="0" fontId="24" fillId="0" borderId="4" xfId="0" applyFont="1" applyFill="1" applyBorder="1" applyAlignment="1">
      <alignment horizontal="center"/>
    </xf>
    <xf numFmtId="0" fontId="24" fillId="0" borderId="25" xfId="0" applyFont="1" applyFill="1" applyBorder="1" applyAlignment="1">
      <alignment horizontal="center"/>
    </xf>
    <xf numFmtId="0" fontId="24" fillId="0" borderId="25" xfId="0" applyFont="1" applyBorder="1" applyAlignment="1">
      <alignment horizontal="center"/>
    </xf>
    <xf numFmtId="0" fontId="24" fillId="0" borderId="20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39" fontId="21" fillId="0" borderId="4" xfId="0" applyNumberFormat="1" applyFont="1" applyBorder="1" applyAlignment="1">
      <alignment horizontal="center"/>
    </xf>
    <xf numFmtId="2" fontId="21" fillId="0" borderId="4" xfId="0" applyNumberFormat="1" applyFont="1" applyBorder="1" applyAlignment="1">
      <alignment horizontal="center"/>
    </xf>
    <xf numFmtId="0" fontId="21" fillId="0" borderId="4" xfId="0" applyNumberFormat="1" applyFont="1" applyBorder="1" applyAlignment="1">
      <alignment horizontal="center"/>
    </xf>
    <xf numFmtId="43" fontId="12" fillId="0" borderId="0" xfId="0" applyNumberFormat="1" applyFont="1"/>
    <xf numFmtId="43" fontId="12" fillId="0" borderId="24" xfId="0" applyNumberFormat="1" applyFont="1" applyBorder="1"/>
    <xf numFmtId="0" fontId="24" fillId="0" borderId="15" xfId="0" applyFont="1" applyFill="1" applyBorder="1" applyAlignment="1">
      <alignment horizontal="center"/>
    </xf>
    <xf numFmtId="43" fontId="24" fillId="0" borderId="15" xfId="0" applyNumberFormat="1" applyFont="1" applyFill="1" applyBorder="1" applyAlignment="1">
      <alignment horizontal="center"/>
    </xf>
    <xf numFmtId="3" fontId="4" fillId="0" borderId="1" xfId="0" applyNumberFormat="1" applyFont="1" applyFill="1" applyBorder="1" applyProtection="1">
      <protection locked="0"/>
    </xf>
    <xf numFmtId="3" fontId="4" fillId="0" borderId="2" xfId="0" applyNumberFormat="1" applyFont="1" applyFill="1" applyBorder="1" applyProtection="1">
      <protection locked="0"/>
    </xf>
    <xf numFmtId="3" fontId="4" fillId="0" borderId="3" xfId="0" applyNumberFormat="1" applyFont="1" applyFill="1" applyBorder="1" applyProtection="1">
      <protection locked="0"/>
    </xf>
    <xf numFmtId="3" fontId="15" fillId="0" borderId="2" xfId="0" applyNumberFormat="1" applyFont="1" applyFill="1" applyBorder="1" applyProtection="1">
      <protection locked="0"/>
    </xf>
    <xf numFmtId="0" fontId="7" fillId="2" borderId="0" xfId="0" applyFont="1" applyFill="1" applyProtection="1">
      <protection locked="0"/>
    </xf>
    <xf numFmtId="3" fontId="19" fillId="0" borderId="0" xfId="0" applyNumberFormat="1" applyFont="1" applyFill="1" applyProtection="1"/>
    <xf numFmtId="3" fontId="2" fillId="0" borderId="2" xfId="2" applyNumberFormat="1" applyFont="1" applyFill="1" applyBorder="1" applyProtection="1">
      <protection locked="0"/>
    </xf>
    <xf numFmtId="3" fontId="14" fillId="0" borderId="2" xfId="2" applyNumberFormat="1" applyFont="1" applyFill="1" applyBorder="1" applyProtection="1">
      <protection locked="0"/>
    </xf>
    <xf numFmtId="3" fontId="4" fillId="0" borderId="2" xfId="2" applyNumberFormat="1" applyFont="1" applyFill="1" applyBorder="1" applyProtection="1">
      <protection locked="0"/>
    </xf>
    <xf numFmtId="0" fontId="16" fillId="0" borderId="26" xfId="0" pivotButton="1" applyFont="1" applyBorder="1"/>
    <xf numFmtId="0" fontId="16" fillId="0" borderId="27" xfId="0" applyFont="1" applyBorder="1"/>
    <xf numFmtId="0" fontId="16" fillId="0" borderId="28" xfId="0" applyFont="1" applyBorder="1"/>
    <xf numFmtId="0" fontId="16" fillId="0" borderId="26" xfId="0" applyFont="1" applyBorder="1"/>
    <xf numFmtId="0" fontId="16" fillId="0" borderId="29" xfId="0" applyFont="1" applyBorder="1"/>
    <xf numFmtId="0" fontId="16" fillId="0" borderId="30" xfId="0" applyFont="1" applyBorder="1"/>
    <xf numFmtId="0" fontId="16" fillId="0" borderId="26" xfId="0" applyNumberFormat="1" applyFont="1" applyBorder="1"/>
    <xf numFmtId="0" fontId="16" fillId="0" borderId="29" xfId="0" applyNumberFormat="1" applyFont="1" applyBorder="1"/>
    <xf numFmtId="0" fontId="16" fillId="0" borderId="30" xfId="0" applyNumberFormat="1" applyFont="1" applyBorder="1"/>
    <xf numFmtId="0" fontId="16" fillId="0" borderId="31" xfId="0" applyFont="1" applyBorder="1"/>
    <xf numFmtId="0" fontId="16" fillId="0" borderId="31" xfId="0" applyNumberFormat="1" applyFont="1" applyBorder="1"/>
    <xf numFmtId="0" fontId="16" fillId="0" borderId="0" xfId="0" applyNumberFormat="1" applyFont="1"/>
    <xf numFmtId="0" fontId="16" fillId="0" borderId="32" xfId="0" applyNumberFormat="1" applyFont="1" applyBorder="1"/>
    <xf numFmtId="0" fontId="16" fillId="0" borderId="33" xfId="0" applyFont="1" applyBorder="1"/>
    <xf numFmtId="0" fontId="16" fillId="0" borderId="33" xfId="0" applyNumberFormat="1" applyFont="1" applyBorder="1"/>
    <xf numFmtId="0" fontId="16" fillId="0" borderId="34" xfId="0" applyNumberFormat="1" applyFont="1" applyBorder="1"/>
    <xf numFmtId="0" fontId="16" fillId="0" borderId="35" xfId="0" applyNumberFormat="1" applyFont="1" applyBorder="1"/>
    <xf numFmtId="0" fontId="0" fillId="0" borderId="4" xfId="0" applyNumberFormat="1" applyFill="1" applyBorder="1"/>
    <xf numFmtId="0" fontId="2" fillId="3" borderId="0" xfId="0" applyFont="1" applyFill="1" applyProtection="1">
      <protection locked="0"/>
    </xf>
    <xf numFmtId="0" fontId="4" fillId="3" borderId="0" xfId="0" applyFont="1" applyFill="1" applyAlignment="1" applyProtection="1">
      <alignment horizontal="center"/>
      <protection locked="0"/>
    </xf>
    <xf numFmtId="3" fontId="10" fillId="3" borderId="0" xfId="0" applyNumberFormat="1" applyFont="1" applyFill="1" applyProtection="1"/>
    <xf numFmtId="3" fontId="7" fillId="3" borderId="0" xfId="0" applyNumberFormat="1" applyFont="1" applyFill="1" applyProtection="1">
      <protection locked="0"/>
    </xf>
    <xf numFmtId="3" fontId="6" fillId="3" borderId="0" xfId="0" applyNumberFormat="1" applyFont="1" applyFill="1" applyProtection="1"/>
    <xf numFmtId="3" fontId="2" fillId="3" borderId="0" xfId="0" applyNumberFormat="1" applyFont="1" applyFill="1" applyProtection="1">
      <protection locked="0"/>
    </xf>
    <xf numFmtId="3" fontId="2" fillId="3" borderId="0" xfId="0" applyNumberFormat="1" applyFont="1" applyFill="1" applyBorder="1" applyProtection="1">
      <protection locked="0"/>
    </xf>
    <xf numFmtId="3" fontId="2" fillId="3" borderId="2" xfId="0" applyNumberFormat="1" applyFont="1" applyFill="1" applyBorder="1" applyProtection="1">
      <protection locked="0"/>
    </xf>
    <xf numFmtId="3" fontId="23" fillId="3" borderId="0" xfId="0" applyNumberFormat="1" applyFont="1" applyFill="1" applyProtection="1">
      <protection locked="0"/>
    </xf>
    <xf numFmtId="3" fontId="4" fillId="3" borderId="2" xfId="0" applyNumberFormat="1" applyFont="1" applyFill="1" applyBorder="1" applyProtection="1">
      <protection locked="0"/>
    </xf>
    <xf numFmtId="0" fontId="0" fillId="3" borderId="4" xfId="0" applyNumberFormat="1" applyFill="1" applyBorder="1"/>
    <xf numFmtId="164" fontId="2" fillId="3" borderId="0" xfId="1" applyNumberFormat="1" applyFont="1" applyFill="1" applyBorder="1" applyProtection="1">
      <protection locked="0"/>
    </xf>
    <xf numFmtId="0" fontId="0" fillId="3" borderId="0" xfId="0" applyNumberFormat="1" applyFill="1"/>
    <xf numFmtId="3" fontId="6" fillId="3" borderId="0" xfId="0" applyNumberFormat="1" applyFont="1" applyFill="1" applyProtection="1">
      <protection locked="0"/>
    </xf>
    <xf numFmtId="0" fontId="0" fillId="3" borderId="0" xfId="0" applyFill="1"/>
    <xf numFmtId="0" fontId="9" fillId="0" borderId="0" xfId="0" applyFont="1" applyAlignment="1">
      <alignment horizontal="center"/>
    </xf>
    <xf numFmtId="3" fontId="2" fillId="0" borderId="4" xfId="1" applyNumberFormat="1" applyFont="1" applyFill="1" applyBorder="1" applyProtection="1">
      <protection locked="0"/>
    </xf>
    <xf numFmtId="3" fontId="18" fillId="0" borderId="4" xfId="1" applyNumberFormat="1" applyFont="1" applyFill="1" applyBorder="1" applyProtection="1">
      <protection locked="0"/>
    </xf>
    <xf numFmtId="3" fontId="2" fillId="3" borderId="4" xfId="1" applyNumberFormat="1" applyFont="1" applyFill="1" applyBorder="1" applyProtection="1">
      <protection locked="0"/>
    </xf>
    <xf numFmtId="3" fontId="17" fillId="0" borderId="4" xfId="1" applyNumberFormat="1" applyFont="1" applyFill="1" applyBorder="1" applyProtection="1">
      <protection locked="0"/>
    </xf>
    <xf numFmtId="1" fontId="2" fillId="0" borderId="0" xfId="1" applyNumberFormat="1" applyFont="1" applyFill="1" applyBorder="1" applyProtection="1">
      <protection locked="0"/>
    </xf>
    <xf numFmtId="3" fontId="4" fillId="3" borderId="4" xfId="1" applyNumberFormat="1" applyFont="1" applyFill="1" applyBorder="1" applyProtection="1">
      <protection locked="0"/>
    </xf>
  </cellXfs>
  <cellStyles count="3">
    <cellStyle name="Comma" xfId="1" builtinId="3"/>
    <cellStyle name="Normal" xfId="0" builtinId="0"/>
    <cellStyle name="Normal 2" xfId="2"/>
  </cellStyles>
  <dxfs count="10">
    <dxf>
      <font>
        <color indexed="17"/>
      </font>
    </dxf>
    <dxf>
      <font>
        <color indexed="17"/>
      </font>
    </dxf>
    <dxf>
      <font>
        <strike val="0"/>
        <condense val="0"/>
        <extend val="0"/>
        <color indexed="10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10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10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10"/>
      </font>
    </dxf>
    <dxf>
      <font>
        <strike val="0"/>
        <condense val="0"/>
        <extend val="0"/>
        <color indexed="12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usernames" Target="revisions/userNam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</xdr:colOff>
      <xdr:row>10</xdr:row>
      <xdr:rowOff>0</xdr:rowOff>
    </xdr:from>
    <xdr:to>
      <xdr:col>5</xdr:col>
      <xdr:colOff>121920</xdr:colOff>
      <xdr:row>21</xdr:row>
      <xdr:rowOff>68580</xdr:rowOff>
    </xdr:to>
    <xdr:pic macro="[0]!LongShortUpdate">
      <xdr:nvPicPr>
        <xdr:cNvPr id="21176" name="Picture 1" descr="internet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6420" y="1729740"/>
          <a:ext cx="1333500" cy="1912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nce Adams" refreshedDate="42762.337368055552" createdVersion="1" refreshedVersion="4" recordCount="4181" upgradeOnRefresh="1">
  <cacheSource type="worksheet">
    <worksheetSource ref="A1:E4182" sheet="AGTRAXDATA"/>
  </cacheSource>
  <cacheFields count="5">
    <cacheField name="BRANCH_NUMBER" numFmtId="0">
      <sharedItems containsBlank="1" containsMixedTypes="1" containsNumber="1" containsInteger="1" minValue="1" maxValue="972" count="112">
        <n v="1"/>
        <n v="9"/>
        <n v="10"/>
        <n v="11"/>
        <n v="21"/>
        <n v="31"/>
        <n v="32"/>
        <n v="41"/>
        <n v="61"/>
        <n v="71"/>
        <n v="81"/>
        <n v="91"/>
        <n v="101"/>
        <n v="111"/>
        <n v="121"/>
        <n v="131"/>
        <n v="141"/>
        <n v="151"/>
        <n v="161"/>
        <n v="171"/>
        <n v="181"/>
        <n v="182"/>
        <n v="183"/>
        <n v="185"/>
        <n v="187"/>
        <n v="188"/>
        <n v="190"/>
        <n v="191"/>
        <n v="192"/>
        <n v="193"/>
        <n v="194"/>
        <n v="195"/>
        <n v="196"/>
        <n v="197"/>
        <n v="198"/>
        <n v="199"/>
        <n v="200"/>
        <n v="201"/>
        <n v="205"/>
        <n v="212"/>
        <n v="215"/>
        <n v="222"/>
        <n v="242"/>
        <n v="245"/>
        <n v="252"/>
        <n v="262"/>
        <n v="272"/>
        <n v="282"/>
        <n v="291"/>
        <n v="292"/>
        <n v="293"/>
        <n v="294"/>
        <n v="295"/>
        <n v="296"/>
        <n v="301"/>
        <n v="311"/>
        <n v="315"/>
        <n v="331"/>
        <n v="341"/>
        <n v="351"/>
        <n v="361"/>
        <n v="432"/>
        <n v="433"/>
        <n v="434"/>
        <n v="442"/>
        <n v="443"/>
        <n v="445"/>
        <n v="447"/>
        <n v="510"/>
        <n v="520"/>
        <n v="530"/>
        <n v="540"/>
        <n v="541"/>
        <n v="542"/>
        <n v="543"/>
        <n v="544"/>
        <n v="545"/>
        <n v="546"/>
        <n v="547"/>
        <n v="548"/>
        <n v="549"/>
        <n v="550"/>
        <n v="551"/>
        <n v="560"/>
        <n v="561"/>
        <n v="565"/>
        <n v="566"/>
        <n v="567"/>
        <n v="570"/>
        <n v="571"/>
        <n v="601"/>
        <n v="602"/>
        <n v="603"/>
        <n v="605"/>
        <n v="940"/>
        <n v="963"/>
        <n v="966"/>
        <n v="967"/>
        <n v="972"/>
        <s v="Flint Hills"/>
        <s v="Interstate Grain"/>
        <s v="Hansen Mueller"/>
        <s v="CHS"/>
        <s v="Agri-trails"/>
        <s v="Sunflower"/>
        <s v="Commerce Brokerage"/>
        <s v="Hannebaum"/>
        <m/>
        <s v="FOB"/>
        <s v="Ag Choice"/>
        <s v="Golden Valley"/>
        <s v="Great Bend Feeding"/>
      </sharedItems>
    </cacheField>
    <cacheField name="COMMODITY_CODE" numFmtId="0">
      <sharedItems containsBlank="1" containsMixedTypes="1" containsNumber="1" containsInteger="1" minValue="1007" maxValue="30323" count="18">
        <s v="01"/>
        <s v="02"/>
        <s v="03"/>
        <s v="04"/>
        <s v="22"/>
        <n v="24896"/>
        <n v="24828"/>
        <n v="1007"/>
        <n v="24483"/>
        <n v="26161"/>
        <n v="21626"/>
        <n v="30323"/>
        <n v="2386"/>
        <m/>
        <n v="24775"/>
        <n v="30030"/>
        <s v="Total"/>
        <n v="30098"/>
      </sharedItems>
    </cacheField>
    <cacheField name="DPR_POSITION" numFmtId="0">
      <sharedItems containsBlank="1" containsMixedTypes="1" containsNumber="1" minValue="0" maxValue="385555.62"/>
    </cacheField>
    <cacheField name="LBS_LIVE" numFmtId="0">
      <sharedItems containsBlank="1" containsMixedTypes="1" containsNumber="1" containsInteger="1" minValue="-1325963" maxValue="670487660"/>
    </cacheField>
    <cacheField name="ADJBAL" numFmtId="0">
      <sharedItems containsBlank="1" containsMixedTypes="1" containsNumber="1" containsInteger="1" minValue="-670487660" maxValue="550008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nce Adams" refreshedDate="42762.337371296293" createdVersion="1" refreshedVersion="4" recordCount="580" upgradeOnRefresh="1">
  <cacheSource type="worksheet">
    <worksheetSource ref="A1:D581" sheet="SALESCONTRACTS"/>
  </cacheSource>
  <cacheFields count="4">
    <cacheField name="BRANCH_NUMBER" numFmtId="0">
      <sharedItems containsSemiMixedTypes="0" containsString="0" containsNumber="1" containsInteger="1" minValue="1" maxValue="997" count="106">
        <n v="1"/>
        <n v="11"/>
        <n v="21"/>
        <n v="31"/>
        <n v="41"/>
        <n v="61"/>
        <n v="71"/>
        <n v="81"/>
        <n v="91"/>
        <n v="101"/>
        <n v="111"/>
        <n v="121"/>
        <n v="131"/>
        <n v="141"/>
        <n v="151"/>
        <n v="161"/>
        <n v="171"/>
        <n v="181"/>
        <n v="182"/>
        <n v="183"/>
        <n v="185"/>
        <n v="187"/>
        <n v="188"/>
        <n v="190"/>
        <n v="191"/>
        <n v="192"/>
        <n v="193"/>
        <n v="194"/>
        <n v="195"/>
        <n v="196"/>
        <n v="197"/>
        <n v="198"/>
        <n v="199"/>
        <n v="201"/>
        <n v="205"/>
        <n v="212"/>
        <n v="215"/>
        <n v="222"/>
        <n v="242"/>
        <n v="245"/>
        <n v="252"/>
        <n v="262"/>
        <n v="272"/>
        <n v="282"/>
        <n v="292"/>
        <n v="293"/>
        <n v="294"/>
        <n v="295"/>
        <n v="296"/>
        <n v="301"/>
        <n v="311"/>
        <n v="331"/>
        <n v="341"/>
        <n v="351"/>
        <n v="361"/>
        <n v="432"/>
        <n v="433"/>
        <n v="442"/>
        <n v="443"/>
        <n v="445"/>
        <n v="447"/>
        <n v="510"/>
        <n v="520"/>
        <n v="530"/>
        <n v="540"/>
        <n v="541"/>
        <n v="542"/>
        <n v="543"/>
        <n v="544"/>
        <n v="545"/>
        <n v="546"/>
        <n v="547"/>
        <n v="548"/>
        <n v="549"/>
        <n v="550"/>
        <n v="551"/>
        <n v="560"/>
        <n v="571"/>
        <n v="601"/>
        <n v="602"/>
        <n v="603"/>
        <n v="605"/>
        <n v="936"/>
        <n v="938"/>
        <n v="939"/>
        <n v="942"/>
        <n v="958"/>
        <n v="960"/>
        <n v="961"/>
        <n v="964"/>
        <n v="966"/>
        <n v="967"/>
        <n v="10"/>
        <n v="315"/>
        <n v="434"/>
        <n v="561"/>
        <n v="565"/>
        <n v="954"/>
        <n v="997"/>
        <n v="291"/>
        <n v="923"/>
        <n v="952"/>
        <n v="959"/>
        <n v="968"/>
        <n v="989"/>
        <n v="992"/>
      </sharedItems>
    </cacheField>
    <cacheField name="COMMODITY_CODE" numFmtId="0">
      <sharedItems count="5">
        <s v="01"/>
        <s v="02"/>
        <s v="03"/>
        <s v="04"/>
        <s v="22"/>
      </sharedItems>
    </cacheField>
    <cacheField name="DPR_POSITION" numFmtId="0">
      <sharedItems containsSemiMixedTypes="0" containsString="0" containsNumber="1" containsInteger="1" minValue="1" maxValue="1098"/>
    </cacheField>
    <cacheField name="LBS_UPDATED" numFmtId="0">
      <sharedItems containsSemiMixedTypes="0" containsString="0" containsNumber="1" containsInteger="1" minValue="-45431" maxValue="168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81">
  <r>
    <x v="0"/>
    <x v="0"/>
    <n v="1"/>
    <n v="0"/>
    <n v="0"/>
  </r>
  <r>
    <x v="0"/>
    <x v="0"/>
    <n v="10"/>
    <n v="0"/>
    <n v="0"/>
  </r>
  <r>
    <x v="0"/>
    <x v="0"/>
    <n v="30"/>
    <n v="0"/>
    <n v="0"/>
  </r>
  <r>
    <x v="0"/>
    <x v="0"/>
    <n v="110"/>
    <n v="0"/>
    <n v="0"/>
  </r>
  <r>
    <x v="0"/>
    <x v="0"/>
    <n v="210"/>
    <n v="0"/>
    <n v="0"/>
  </r>
  <r>
    <x v="0"/>
    <x v="1"/>
    <n v="10"/>
    <n v="0"/>
    <n v="0"/>
  </r>
  <r>
    <x v="0"/>
    <x v="1"/>
    <n v="110"/>
    <n v="0"/>
    <n v="0"/>
  </r>
  <r>
    <x v="0"/>
    <x v="1"/>
    <n v="210"/>
    <n v="0"/>
    <n v="0"/>
  </r>
  <r>
    <x v="0"/>
    <x v="1"/>
    <n v="230"/>
    <n v="0"/>
    <n v="0"/>
  </r>
  <r>
    <x v="0"/>
    <x v="2"/>
    <n v="110"/>
    <n v="0"/>
    <n v="0"/>
  </r>
  <r>
    <x v="0"/>
    <x v="2"/>
    <n v="240"/>
    <n v="0"/>
    <n v="0"/>
  </r>
  <r>
    <x v="0"/>
    <x v="3"/>
    <n v="1"/>
    <n v="0"/>
    <n v="0"/>
  </r>
  <r>
    <x v="0"/>
    <x v="3"/>
    <n v="10"/>
    <n v="0"/>
    <n v="0"/>
  </r>
  <r>
    <x v="0"/>
    <x v="3"/>
    <n v="30"/>
    <n v="0"/>
    <n v="0"/>
  </r>
  <r>
    <x v="0"/>
    <x v="3"/>
    <n v="110"/>
    <n v="0"/>
    <n v="0"/>
  </r>
  <r>
    <x v="0"/>
    <x v="3"/>
    <n v="210"/>
    <n v="0"/>
    <n v="0"/>
  </r>
  <r>
    <x v="0"/>
    <x v="3"/>
    <n v="230"/>
    <n v="0"/>
    <n v="0"/>
  </r>
  <r>
    <x v="0"/>
    <x v="3"/>
    <n v="240"/>
    <n v="0"/>
    <n v="0"/>
  </r>
  <r>
    <x v="1"/>
    <x v="2"/>
    <n v="270"/>
    <n v="0"/>
    <n v="0"/>
  </r>
  <r>
    <x v="2"/>
    <x v="1"/>
    <n v="150"/>
    <n v="0"/>
    <n v="0"/>
  </r>
  <r>
    <x v="2"/>
    <x v="3"/>
    <n v="150"/>
    <n v="0"/>
    <n v="0"/>
  </r>
  <r>
    <x v="2"/>
    <x v="3"/>
    <n v="200"/>
    <n v="0"/>
    <n v="0"/>
  </r>
  <r>
    <x v="3"/>
    <x v="0"/>
    <n v="1"/>
    <n v="495955"/>
    <n v="495955"/>
  </r>
  <r>
    <x v="3"/>
    <x v="0"/>
    <n v="10"/>
    <n v="77938980"/>
    <n v="77938980"/>
  </r>
  <r>
    <x v="3"/>
    <x v="0"/>
    <n v="20"/>
    <n v="0"/>
    <n v="0"/>
  </r>
  <r>
    <x v="3"/>
    <x v="0"/>
    <n v="50"/>
    <n v="367720"/>
    <n v="367720"/>
  </r>
  <r>
    <x v="3"/>
    <x v="0"/>
    <n v="60"/>
    <n v="0"/>
    <n v="0"/>
  </r>
  <r>
    <x v="3"/>
    <x v="0"/>
    <n v="70"/>
    <n v="0"/>
    <n v="0"/>
  </r>
  <r>
    <x v="3"/>
    <x v="0"/>
    <n v="100"/>
    <n v="0"/>
    <n v="0"/>
  </r>
  <r>
    <x v="3"/>
    <x v="0"/>
    <n v="110"/>
    <n v="40185980"/>
    <n v="-40185980"/>
  </r>
  <r>
    <x v="3"/>
    <x v="0"/>
    <n v="120"/>
    <n v="100"/>
    <n v="-100"/>
  </r>
  <r>
    <x v="3"/>
    <x v="0"/>
    <n v="130"/>
    <n v="435180"/>
    <n v="-435180"/>
  </r>
  <r>
    <x v="3"/>
    <x v="0"/>
    <n v="140"/>
    <n v="29726680"/>
    <n v="-29726680"/>
  </r>
  <r>
    <x v="3"/>
    <x v="0"/>
    <n v="150"/>
    <n v="0"/>
    <n v="0"/>
  </r>
  <r>
    <x v="3"/>
    <x v="0"/>
    <n v="200"/>
    <n v="384588"/>
    <n v="-384588"/>
  </r>
  <r>
    <x v="3"/>
    <x v="0"/>
    <n v="210"/>
    <n v="283061"/>
    <n v="-283061"/>
  </r>
  <r>
    <x v="3"/>
    <x v="0"/>
    <n v="220"/>
    <n v="0"/>
    <n v="0"/>
  </r>
  <r>
    <x v="3"/>
    <x v="0"/>
    <n v="230"/>
    <n v="0"/>
    <n v="0"/>
  </r>
  <r>
    <x v="3"/>
    <x v="0"/>
    <n v="260"/>
    <n v="0"/>
    <n v="0"/>
  </r>
  <r>
    <x v="3"/>
    <x v="0"/>
    <n v="270"/>
    <n v="0"/>
    <n v="0"/>
  </r>
  <r>
    <x v="3"/>
    <x v="0"/>
    <n v="298"/>
    <n v="0"/>
    <n v="0"/>
  </r>
  <r>
    <x v="3"/>
    <x v="1"/>
    <n v="1"/>
    <n v="3480"/>
    <n v="3480"/>
  </r>
  <r>
    <x v="3"/>
    <x v="1"/>
    <n v="10"/>
    <n v="6895060"/>
    <n v="6895060"/>
  </r>
  <r>
    <x v="3"/>
    <x v="1"/>
    <n v="20"/>
    <n v="0"/>
    <n v="0"/>
  </r>
  <r>
    <x v="3"/>
    <x v="1"/>
    <n v="50"/>
    <n v="2340"/>
    <n v="2340"/>
  </r>
  <r>
    <x v="3"/>
    <x v="1"/>
    <n v="70"/>
    <n v="0"/>
    <n v="0"/>
  </r>
  <r>
    <x v="3"/>
    <x v="1"/>
    <n v="110"/>
    <n v="0"/>
    <n v="0"/>
  </r>
  <r>
    <x v="3"/>
    <x v="1"/>
    <n v="120"/>
    <n v="10020"/>
    <n v="-10020"/>
  </r>
  <r>
    <x v="3"/>
    <x v="1"/>
    <n v="130"/>
    <n v="559020"/>
    <n v="-559020"/>
  </r>
  <r>
    <x v="3"/>
    <x v="1"/>
    <n v="140"/>
    <n v="0"/>
    <n v="0"/>
  </r>
  <r>
    <x v="3"/>
    <x v="1"/>
    <n v="141"/>
    <n v="5425840"/>
    <n v="-5425840"/>
  </r>
  <r>
    <x v="3"/>
    <x v="1"/>
    <n v="150"/>
    <n v="0"/>
    <n v="0"/>
  </r>
  <r>
    <x v="3"/>
    <x v="1"/>
    <n v="160"/>
    <n v="0"/>
    <n v="0"/>
  </r>
  <r>
    <x v="3"/>
    <x v="1"/>
    <n v="200"/>
    <n v="34451"/>
    <n v="-34451"/>
  </r>
  <r>
    <x v="3"/>
    <x v="1"/>
    <n v="210"/>
    <n v="0"/>
    <n v="0"/>
  </r>
  <r>
    <x v="3"/>
    <x v="1"/>
    <n v="220"/>
    <n v="0"/>
    <n v="0"/>
  </r>
  <r>
    <x v="3"/>
    <x v="1"/>
    <n v="230"/>
    <n v="163941"/>
    <n v="-163941"/>
  </r>
  <r>
    <x v="3"/>
    <x v="1"/>
    <n v="260"/>
    <n v="0"/>
    <n v="0"/>
  </r>
  <r>
    <x v="3"/>
    <x v="1"/>
    <n v="270"/>
    <n v="0"/>
    <n v="0"/>
  </r>
  <r>
    <x v="3"/>
    <x v="1"/>
    <n v="298"/>
    <n v="0"/>
    <n v="0"/>
  </r>
  <r>
    <x v="3"/>
    <x v="2"/>
    <n v="1"/>
    <n v="22922452"/>
    <n v="22922452"/>
  </r>
  <r>
    <x v="3"/>
    <x v="2"/>
    <n v="10"/>
    <n v="45139490"/>
    <n v="45139490"/>
  </r>
  <r>
    <x v="3"/>
    <x v="2"/>
    <n v="20"/>
    <n v="0"/>
    <n v="0"/>
  </r>
  <r>
    <x v="3"/>
    <x v="2"/>
    <n v="50"/>
    <n v="0"/>
    <n v="0"/>
  </r>
  <r>
    <x v="3"/>
    <x v="2"/>
    <n v="60"/>
    <n v="0"/>
    <n v="0"/>
  </r>
  <r>
    <x v="3"/>
    <x v="2"/>
    <n v="70"/>
    <n v="0"/>
    <n v="0"/>
  </r>
  <r>
    <x v="3"/>
    <x v="2"/>
    <n v="110"/>
    <n v="8621420"/>
    <n v="-8621420"/>
  </r>
  <r>
    <x v="3"/>
    <x v="2"/>
    <n v="120"/>
    <n v="600"/>
    <n v="-600"/>
  </r>
  <r>
    <x v="3"/>
    <x v="2"/>
    <n v="130"/>
    <n v="0"/>
    <n v="0"/>
  </r>
  <r>
    <x v="3"/>
    <x v="2"/>
    <n v="140"/>
    <n v="20491720"/>
    <n v="-20491720"/>
  </r>
  <r>
    <x v="3"/>
    <x v="2"/>
    <n v="141"/>
    <n v="22786620"/>
    <n v="-22786620"/>
  </r>
  <r>
    <x v="3"/>
    <x v="2"/>
    <n v="200"/>
    <n v="223403"/>
    <n v="-223403"/>
  </r>
  <r>
    <x v="3"/>
    <x v="2"/>
    <n v="210"/>
    <n v="26640"/>
    <n v="-26640"/>
  </r>
  <r>
    <x v="3"/>
    <x v="2"/>
    <n v="220"/>
    <n v="0"/>
    <n v="0"/>
  </r>
  <r>
    <x v="3"/>
    <x v="2"/>
    <n v="230"/>
    <n v="309285"/>
    <n v="-309285"/>
  </r>
  <r>
    <x v="3"/>
    <x v="2"/>
    <n v="270"/>
    <n v="0"/>
    <n v="0"/>
  </r>
  <r>
    <x v="3"/>
    <x v="2"/>
    <n v="298"/>
    <n v="0"/>
    <n v="0"/>
  </r>
  <r>
    <x v="3"/>
    <x v="3"/>
    <n v="1"/>
    <n v="30535609"/>
    <n v="30535609"/>
  </r>
  <r>
    <x v="3"/>
    <x v="3"/>
    <n v="10"/>
    <n v="64934320"/>
    <n v="64934320"/>
  </r>
  <r>
    <x v="3"/>
    <x v="3"/>
    <n v="20"/>
    <n v="0"/>
    <n v="0"/>
  </r>
  <r>
    <x v="3"/>
    <x v="3"/>
    <n v="50"/>
    <n v="0"/>
    <n v="0"/>
  </r>
  <r>
    <x v="3"/>
    <x v="3"/>
    <n v="51"/>
    <n v="155940"/>
    <n v="155940"/>
  </r>
  <r>
    <x v="3"/>
    <x v="3"/>
    <n v="70"/>
    <n v="0"/>
    <n v="0"/>
  </r>
  <r>
    <x v="3"/>
    <x v="3"/>
    <n v="110"/>
    <n v="13868280"/>
    <n v="-13868280"/>
  </r>
  <r>
    <x v="3"/>
    <x v="3"/>
    <n v="120"/>
    <n v="303707"/>
    <n v="-303707"/>
  </r>
  <r>
    <x v="3"/>
    <x v="3"/>
    <n v="130"/>
    <n v="14924993"/>
    <n v="-14924993"/>
  </r>
  <r>
    <x v="3"/>
    <x v="3"/>
    <n v="140"/>
    <n v="0"/>
    <n v="0"/>
  </r>
  <r>
    <x v="3"/>
    <x v="3"/>
    <n v="141"/>
    <n v="50412060"/>
    <n v="-50412060"/>
  </r>
  <r>
    <x v="3"/>
    <x v="3"/>
    <n v="150"/>
    <n v="0"/>
    <n v="0"/>
  </r>
  <r>
    <x v="3"/>
    <x v="3"/>
    <n v="160"/>
    <n v="0"/>
    <n v="0"/>
  </r>
  <r>
    <x v="3"/>
    <x v="3"/>
    <n v="200"/>
    <n v="645498"/>
    <n v="-645498"/>
  </r>
  <r>
    <x v="3"/>
    <x v="3"/>
    <n v="210"/>
    <n v="1214"/>
    <n v="-1214"/>
  </r>
  <r>
    <x v="3"/>
    <x v="3"/>
    <n v="211"/>
    <n v="33781"/>
    <n v="-33781"/>
  </r>
  <r>
    <x v="3"/>
    <x v="3"/>
    <n v="220"/>
    <n v="0"/>
    <n v="0"/>
  </r>
  <r>
    <x v="3"/>
    <x v="3"/>
    <n v="230"/>
    <n v="376196"/>
    <n v="-376196"/>
  </r>
  <r>
    <x v="3"/>
    <x v="3"/>
    <n v="260"/>
    <n v="0"/>
    <n v="0"/>
  </r>
  <r>
    <x v="3"/>
    <x v="3"/>
    <n v="270"/>
    <n v="0"/>
    <n v="0"/>
  </r>
  <r>
    <x v="3"/>
    <x v="3"/>
    <n v="298"/>
    <n v="0"/>
    <n v="0"/>
  </r>
  <r>
    <x v="3"/>
    <x v="4"/>
    <n v="1"/>
    <n v="0"/>
    <n v="0"/>
  </r>
  <r>
    <x v="3"/>
    <x v="4"/>
    <n v="10"/>
    <n v="0"/>
    <n v="0"/>
  </r>
  <r>
    <x v="3"/>
    <x v="4"/>
    <n v="20"/>
    <n v="0"/>
    <n v="0"/>
  </r>
  <r>
    <x v="3"/>
    <x v="4"/>
    <n v="110"/>
    <n v="0"/>
    <n v="0"/>
  </r>
  <r>
    <x v="3"/>
    <x v="4"/>
    <n v="140"/>
    <n v="0"/>
    <n v="0"/>
  </r>
  <r>
    <x v="3"/>
    <x v="4"/>
    <n v="210"/>
    <n v="0"/>
    <n v="0"/>
  </r>
  <r>
    <x v="3"/>
    <x v="4"/>
    <n v="230"/>
    <n v="0"/>
    <n v="0"/>
  </r>
  <r>
    <x v="4"/>
    <x v="0"/>
    <n v="1"/>
    <n v="12454969"/>
    <n v="12454969"/>
  </r>
  <r>
    <x v="4"/>
    <x v="0"/>
    <n v="10"/>
    <n v="14251180"/>
    <n v="14251180"/>
  </r>
  <r>
    <x v="4"/>
    <x v="0"/>
    <n v="20"/>
    <n v="0"/>
    <n v="0"/>
  </r>
  <r>
    <x v="4"/>
    <x v="0"/>
    <n v="50"/>
    <n v="0"/>
    <n v="0"/>
  </r>
  <r>
    <x v="4"/>
    <x v="0"/>
    <n v="70"/>
    <n v="0"/>
    <n v="0"/>
  </r>
  <r>
    <x v="4"/>
    <x v="0"/>
    <n v="110"/>
    <n v="0"/>
    <n v="0"/>
  </r>
  <r>
    <x v="4"/>
    <x v="0"/>
    <n v="120"/>
    <n v="0"/>
    <n v="0"/>
  </r>
  <r>
    <x v="4"/>
    <x v="0"/>
    <n v="130"/>
    <n v="0"/>
    <n v="0"/>
  </r>
  <r>
    <x v="4"/>
    <x v="0"/>
    <n v="140"/>
    <n v="13856460"/>
    <n v="-13856460"/>
  </r>
  <r>
    <x v="4"/>
    <x v="0"/>
    <n v="141"/>
    <n v="269780"/>
    <n v="-269780"/>
  </r>
  <r>
    <x v="4"/>
    <x v="0"/>
    <n v="200"/>
    <n v="69448"/>
    <n v="-69448"/>
  </r>
  <r>
    <x v="4"/>
    <x v="0"/>
    <n v="210"/>
    <n v="128484"/>
    <n v="-128484"/>
  </r>
  <r>
    <x v="4"/>
    <x v="0"/>
    <n v="230"/>
    <n v="0"/>
    <n v="0"/>
  </r>
  <r>
    <x v="4"/>
    <x v="0"/>
    <n v="298"/>
    <n v="0"/>
    <n v="0"/>
  </r>
  <r>
    <x v="4"/>
    <x v="1"/>
    <n v="1"/>
    <n v="1292119"/>
    <n v="1292119"/>
  </r>
  <r>
    <x v="4"/>
    <x v="1"/>
    <n v="10"/>
    <n v="1586980"/>
    <n v="1586980"/>
  </r>
  <r>
    <x v="4"/>
    <x v="1"/>
    <n v="20"/>
    <n v="80901"/>
    <n v="80901"/>
  </r>
  <r>
    <x v="4"/>
    <x v="1"/>
    <n v="50"/>
    <n v="0"/>
    <n v="0"/>
  </r>
  <r>
    <x v="4"/>
    <x v="1"/>
    <n v="70"/>
    <n v="0"/>
    <n v="0"/>
  </r>
  <r>
    <x v="4"/>
    <x v="1"/>
    <n v="100"/>
    <n v="0"/>
    <n v="0"/>
  </r>
  <r>
    <x v="4"/>
    <x v="1"/>
    <n v="110"/>
    <n v="1075760"/>
    <n v="-1075760"/>
  </r>
  <r>
    <x v="4"/>
    <x v="1"/>
    <n v="120"/>
    <n v="0"/>
    <n v="0"/>
  </r>
  <r>
    <x v="4"/>
    <x v="1"/>
    <n v="130"/>
    <n v="0"/>
    <n v="0"/>
  </r>
  <r>
    <x v="4"/>
    <x v="1"/>
    <n v="140"/>
    <n v="0"/>
    <n v="0"/>
  </r>
  <r>
    <x v="4"/>
    <x v="1"/>
    <n v="141"/>
    <n v="308000"/>
    <n v="-308000"/>
  </r>
  <r>
    <x v="4"/>
    <x v="1"/>
    <n v="200"/>
    <n v="7881"/>
    <n v="-7881"/>
  </r>
  <r>
    <x v="4"/>
    <x v="1"/>
    <n v="210"/>
    <n v="0"/>
    <n v="0"/>
  </r>
  <r>
    <x v="4"/>
    <x v="1"/>
    <n v="220"/>
    <n v="0"/>
    <n v="0"/>
  </r>
  <r>
    <x v="4"/>
    <x v="1"/>
    <n v="230"/>
    <n v="22141"/>
    <n v="-22141"/>
  </r>
  <r>
    <x v="4"/>
    <x v="1"/>
    <n v="260"/>
    <n v="0"/>
    <n v="0"/>
  </r>
  <r>
    <x v="4"/>
    <x v="1"/>
    <n v="298"/>
    <n v="0"/>
    <n v="0"/>
  </r>
  <r>
    <x v="4"/>
    <x v="2"/>
    <n v="1"/>
    <n v="5439215"/>
    <n v="5439215"/>
  </r>
  <r>
    <x v="4"/>
    <x v="2"/>
    <n v="10"/>
    <n v="5884240"/>
    <n v="5884240"/>
  </r>
  <r>
    <x v="4"/>
    <x v="2"/>
    <n v="20"/>
    <n v="0"/>
    <n v="0"/>
  </r>
  <r>
    <x v="4"/>
    <x v="2"/>
    <n v="50"/>
    <n v="953940"/>
    <n v="953940"/>
  </r>
  <r>
    <x v="4"/>
    <x v="2"/>
    <n v="70"/>
    <n v="0"/>
    <n v="0"/>
  </r>
  <r>
    <x v="4"/>
    <x v="2"/>
    <n v="110"/>
    <n v="5687160"/>
    <n v="-5687160"/>
  </r>
  <r>
    <x v="4"/>
    <x v="2"/>
    <n v="120"/>
    <n v="0"/>
    <n v="0"/>
  </r>
  <r>
    <x v="4"/>
    <x v="2"/>
    <n v="130"/>
    <n v="0"/>
    <n v="0"/>
  </r>
  <r>
    <x v="4"/>
    <x v="2"/>
    <n v="140"/>
    <n v="0"/>
    <n v="0"/>
  </r>
  <r>
    <x v="4"/>
    <x v="2"/>
    <n v="141"/>
    <n v="220340"/>
    <n v="-220340"/>
  </r>
  <r>
    <x v="4"/>
    <x v="2"/>
    <n v="200"/>
    <n v="26761"/>
    <n v="-26761"/>
  </r>
  <r>
    <x v="4"/>
    <x v="2"/>
    <n v="210"/>
    <n v="13628"/>
    <n v="-13628"/>
  </r>
  <r>
    <x v="4"/>
    <x v="2"/>
    <n v="220"/>
    <n v="0"/>
    <n v="0"/>
  </r>
  <r>
    <x v="4"/>
    <x v="2"/>
    <n v="230"/>
    <n v="14886"/>
    <n v="-14886"/>
  </r>
  <r>
    <x v="4"/>
    <x v="2"/>
    <n v="270"/>
    <n v="0"/>
    <n v="0"/>
  </r>
  <r>
    <x v="4"/>
    <x v="2"/>
    <n v="298"/>
    <n v="0"/>
    <n v="0"/>
  </r>
  <r>
    <x v="4"/>
    <x v="3"/>
    <n v="1"/>
    <n v="12424754"/>
    <n v="12424754"/>
  </r>
  <r>
    <x v="4"/>
    <x v="3"/>
    <n v="10"/>
    <n v="11956460"/>
    <n v="11956460"/>
  </r>
  <r>
    <x v="4"/>
    <x v="3"/>
    <n v="50"/>
    <n v="0"/>
    <n v="0"/>
  </r>
  <r>
    <x v="4"/>
    <x v="3"/>
    <n v="70"/>
    <n v="0"/>
    <n v="0"/>
  </r>
  <r>
    <x v="4"/>
    <x v="3"/>
    <n v="110"/>
    <n v="2795580"/>
    <n v="-2795580"/>
  </r>
  <r>
    <x v="4"/>
    <x v="3"/>
    <n v="120"/>
    <n v="890780"/>
    <n v="-890780"/>
  </r>
  <r>
    <x v="4"/>
    <x v="3"/>
    <n v="130"/>
    <n v="1660"/>
    <n v="-1660"/>
  </r>
  <r>
    <x v="4"/>
    <x v="3"/>
    <n v="140"/>
    <n v="0"/>
    <n v="0"/>
  </r>
  <r>
    <x v="4"/>
    <x v="3"/>
    <n v="141"/>
    <n v="11781520"/>
    <n v="-11781520"/>
  </r>
  <r>
    <x v="4"/>
    <x v="3"/>
    <n v="160"/>
    <n v="0"/>
    <n v="0"/>
  </r>
  <r>
    <x v="4"/>
    <x v="3"/>
    <n v="200"/>
    <n v="116873"/>
    <n v="-116873"/>
  </r>
  <r>
    <x v="4"/>
    <x v="3"/>
    <n v="210"/>
    <n v="2611"/>
    <n v="-2611"/>
  </r>
  <r>
    <x v="4"/>
    <x v="3"/>
    <n v="220"/>
    <n v="0"/>
    <n v="0"/>
  </r>
  <r>
    <x v="4"/>
    <x v="3"/>
    <n v="230"/>
    <n v="25884"/>
    <n v="-25884"/>
  </r>
  <r>
    <x v="4"/>
    <x v="3"/>
    <n v="260"/>
    <n v="0"/>
    <n v="0"/>
  </r>
  <r>
    <x v="4"/>
    <x v="3"/>
    <n v="298"/>
    <n v="0"/>
    <n v="0"/>
  </r>
  <r>
    <x v="5"/>
    <x v="0"/>
    <n v="1"/>
    <n v="68782178"/>
    <n v="68782178"/>
  </r>
  <r>
    <x v="5"/>
    <x v="0"/>
    <n v="10"/>
    <n v="112200720"/>
    <n v="112200720"/>
  </r>
  <r>
    <x v="5"/>
    <x v="0"/>
    <n v="20"/>
    <n v="0"/>
    <n v="0"/>
  </r>
  <r>
    <x v="5"/>
    <x v="0"/>
    <n v="50"/>
    <n v="0"/>
    <n v="0"/>
  </r>
  <r>
    <x v="5"/>
    <x v="0"/>
    <n v="60"/>
    <n v="0"/>
    <n v="0"/>
  </r>
  <r>
    <x v="5"/>
    <x v="0"/>
    <n v="70"/>
    <n v="0"/>
    <n v="0"/>
  </r>
  <r>
    <x v="5"/>
    <x v="0"/>
    <n v="100"/>
    <n v="0"/>
    <n v="0"/>
  </r>
  <r>
    <x v="5"/>
    <x v="0"/>
    <n v="110"/>
    <n v="116680"/>
    <n v="-116680"/>
  </r>
  <r>
    <x v="5"/>
    <x v="0"/>
    <n v="120"/>
    <n v="0"/>
    <n v="0"/>
  </r>
  <r>
    <x v="5"/>
    <x v="0"/>
    <n v="130"/>
    <n v="0"/>
    <n v="0"/>
  </r>
  <r>
    <x v="5"/>
    <x v="0"/>
    <n v="140"/>
    <n v="26214240"/>
    <n v="-26214240"/>
  </r>
  <r>
    <x v="5"/>
    <x v="0"/>
    <n v="141"/>
    <n v="61023380"/>
    <n v="-61023380"/>
  </r>
  <r>
    <x v="5"/>
    <x v="0"/>
    <n v="200"/>
    <n v="558069"/>
    <n v="-558069"/>
  </r>
  <r>
    <x v="5"/>
    <x v="0"/>
    <n v="210"/>
    <n v="610747"/>
    <n v="-610747"/>
  </r>
  <r>
    <x v="5"/>
    <x v="0"/>
    <n v="220"/>
    <n v="0"/>
    <n v="0"/>
  </r>
  <r>
    <x v="5"/>
    <x v="0"/>
    <n v="230"/>
    <n v="0"/>
    <n v="0"/>
  </r>
  <r>
    <x v="5"/>
    <x v="0"/>
    <n v="298"/>
    <n v="0"/>
    <n v="0"/>
  </r>
  <r>
    <x v="5"/>
    <x v="1"/>
    <n v="1"/>
    <n v="8980787"/>
    <n v="8980787"/>
  </r>
  <r>
    <x v="5"/>
    <x v="1"/>
    <n v="10"/>
    <n v="21838580"/>
    <n v="21838580"/>
  </r>
  <r>
    <x v="5"/>
    <x v="1"/>
    <n v="20"/>
    <n v="0"/>
    <n v="0"/>
  </r>
  <r>
    <x v="5"/>
    <x v="1"/>
    <n v="50"/>
    <n v="0"/>
    <n v="0"/>
  </r>
  <r>
    <x v="5"/>
    <x v="1"/>
    <n v="70"/>
    <n v="0"/>
    <n v="0"/>
  </r>
  <r>
    <x v="5"/>
    <x v="1"/>
    <n v="100"/>
    <n v="0"/>
    <n v="0"/>
  </r>
  <r>
    <x v="5"/>
    <x v="1"/>
    <n v="110"/>
    <n v="10147700"/>
    <n v="-10147700"/>
  </r>
  <r>
    <x v="5"/>
    <x v="1"/>
    <n v="120"/>
    <n v="940"/>
    <n v="-940"/>
  </r>
  <r>
    <x v="5"/>
    <x v="1"/>
    <n v="130"/>
    <n v="0"/>
    <n v="0"/>
  </r>
  <r>
    <x v="5"/>
    <x v="1"/>
    <n v="140"/>
    <n v="188700"/>
    <n v="-188700"/>
  </r>
  <r>
    <x v="5"/>
    <x v="1"/>
    <n v="141"/>
    <n v="10590940"/>
    <n v="-10590940"/>
  </r>
  <r>
    <x v="5"/>
    <x v="1"/>
    <n v="160"/>
    <n v="0"/>
    <n v="0"/>
  </r>
  <r>
    <x v="5"/>
    <x v="1"/>
    <n v="200"/>
    <n v="108921"/>
    <n v="-108921"/>
  </r>
  <r>
    <x v="5"/>
    <x v="1"/>
    <n v="210"/>
    <n v="0"/>
    <n v="0"/>
  </r>
  <r>
    <x v="5"/>
    <x v="1"/>
    <n v="220"/>
    <n v="116767"/>
    <n v="-116767"/>
  </r>
  <r>
    <x v="5"/>
    <x v="1"/>
    <n v="230"/>
    <n v="477710"/>
    <n v="-477710"/>
  </r>
  <r>
    <x v="5"/>
    <x v="1"/>
    <n v="260"/>
    <n v="0"/>
    <n v="0"/>
  </r>
  <r>
    <x v="5"/>
    <x v="1"/>
    <n v="270"/>
    <n v="0"/>
    <n v="0"/>
  </r>
  <r>
    <x v="5"/>
    <x v="1"/>
    <n v="298"/>
    <n v="0"/>
    <n v="0"/>
  </r>
  <r>
    <x v="5"/>
    <x v="2"/>
    <n v="1"/>
    <n v="28401015"/>
    <n v="28401015"/>
  </r>
  <r>
    <x v="5"/>
    <x v="2"/>
    <n v="10"/>
    <n v="42406414"/>
    <n v="42406414"/>
  </r>
  <r>
    <x v="5"/>
    <x v="2"/>
    <n v="20"/>
    <n v="84145"/>
    <n v="84145"/>
  </r>
  <r>
    <x v="5"/>
    <x v="2"/>
    <n v="50"/>
    <n v="6130380"/>
    <n v="6130380"/>
  </r>
  <r>
    <x v="5"/>
    <x v="2"/>
    <n v="70"/>
    <n v="0"/>
    <n v="0"/>
  </r>
  <r>
    <x v="5"/>
    <x v="2"/>
    <n v="100"/>
    <n v="0"/>
    <n v="0"/>
  </r>
  <r>
    <x v="5"/>
    <x v="2"/>
    <n v="110"/>
    <n v="1519900"/>
    <n v="-1519900"/>
  </r>
  <r>
    <x v="5"/>
    <x v="2"/>
    <n v="120"/>
    <n v="0"/>
    <n v="0"/>
  </r>
  <r>
    <x v="5"/>
    <x v="2"/>
    <n v="130"/>
    <n v="0"/>
    <n v="0"/>
  </r>
  <r>
    <x v="5"/>
    <x v="2"/>
    <n v="140"/>
    <n v="0"/>
    <n v="0"/>
  </r>
  <r>
    <x v="5"/>
    <x v="2"/>
    <n v="141"/>
    <n v="26980140"/>
    <n v="-26980140"/>
  </r>
  <r>
    <x v="5"/>
    <x v="2"/>
    <n v="200"/>
    <n v="211935"/>
    <n v="-211935"/>
  </r>
  <r>
    <x v="5"/>
    <x v="2"/>
    <n v="210"/>
    <n v="59947"/>
    <n v="-59947"/>
  </r>
  <r>
    <x v="5"/>
    <x v="2"/>
    <n v="220"/>
    <n v="0"/>
    <n v="0"/>
  </r>
  <r>
    <x v="5"/>
    <x v="2"/>
    <n v="230"/>
    <n v="199313"/>
    <n v="-199313"/>
  </r>
  <r>
    <x v="5"/>
    <x v="2"/>
    <n v="270"/>
    <n v="0"/>
    <n v="0"/>
  </r>
  <r>
    <x v="5"/>
    <x v="2"/>
    <n v="298"/>
    <n v="0"/>
    <n v="0"/>
  </r>
  <r>
    <x v="5"/>
    <x v="3"/>
    <n v="1"/>
    <n v="27609778"/>
    <n v="27609778"/>
  </r>
  <r>
    <x v="5"/>
    <x v="3"/>
    <n v="10"/>
    <n v="55953420"/>
    <n v="55953420"/>
  </r>
  <r>
    <x v="5"/>
    <x v="3"/>
    <n v="20"/>
    <n v="2100000"/>
    <n v="2100000"/>
  </r>
  <r>
    <x v="5"/>
    <x v="3"/>
    <n v="50"/>
    <n v="4300540"/>
    <n v="4300540"/>
  </r>
  <r>
    <x v="5"/>
    <x v="3"/>
    <n v="70"/>
    <n v="341177"/>
    <n v="341177"/>
  </r>
  <r>
    <x v="5"/>
    <x v="3"/>
    <n v="110"/>
    <n v="18641080"/>
    <n v="-18641080"/>
  </r>
  <r>
    <x v="5"/>
    <x v="3"/>
    <n v="120"/>
    <n v="468520"/>
    <n v="-468520"/>
  </r>
  <r>
    <x v="5"/>
    <x v="3"/>
    <n v="130"/>
    <n v="0"/>
    <n v="0"/>
  </r>
  <r>
    <x v="5"/>
    <x v="3"/>
    <n v="140"/>
    <n v="23385240"/>
    <n v="-23385240"/>
  </r>
  <r>
    <x v="5"/>
    <x v="3"/>
    <n v="141"/>
    <n v="35912420"/>
    <n v="-35912420"/>
  </r>
  <r>
    <x v="5"/>
    <x v="3"/>
    <n v="160"/>
    <n v="0"/>
    <n v="0"/>
  </r>
  <r>
    <x v="5"/>
    <x v="3"/>
    <n v="200"/>
    <n v="559303"/>
    <n v="-559303"/>
  </r>
  <r>
    <x v="5"/>
    <x v="3"/>
    <n v="210"/>
    <n v="12253"/>
    <n v="-12253"/>
  </r>
  <r>
    <x v="5"/>
    <x v="3"/>
    <n v="220"/>
    <n v="0"/>
    <n v="0"/>
  </r>
  <r>
    <x v="5"/>
    <x v="3"/>
    <n v="230"/>
    <n v="645409"/>
    <n v="-645409"/>
  </r>
  <r>
    <x v="5"/>
    <x v="3"/>
    <n v="260"/>
    <n v="0"/>
    <n v="0"/>
  </r>
  <r>
    <x v="5"/>
    <x v="3"/>
    <n v="298"/>
    <n v="0"/>
    <n v="0"/>
  </r>
  <r>
    <x v="5"/>
    <x v="4"/>
    <n v="10"/>
    <n v="0"/>
    <n v="0"/>
  </r>
  <r>
    <x v="5"/>
    <x v="4"/>
    <n v="110"/>
    <n v="0"/>
    <n v="0"/>
  </r>
  <r>
    <x v="6"/>
    <x v="0"/>
    <n v="50"/>
    <n v="0"/>
    <n v="0"/>
  </r>
  <r>
    <x v="6"/>
    <x v="0"/>
    <n v="110"/>
    <n v="0"/>
    <n v="0"/>
  </r>
  <r>
    <x v="6"/>
    <x v="3"/>
    <n v="1"/>
    <n v="57844037"/>
    <n v="57844037"/>
  </r>
  <r>
    <x v="6"/>
    <x v="3"/>
    <n v="10"/>
    <n v="35796940"/>
    <n v="35796940"/>
  </r>
  <r>
    <x v="6"/>
    <x v="3"/>
    <n v="50"/>
    <n v="23385260"/>
    <n v="23385260"/>
  </r>
  <r>
    <x v="6"/>
    <x v="3"/>
    <n v="70"/>
    <n v="-341177"/>
    <n v="-341177"/>
  </r>
  <r>
    <x v="6"/>
    <x v="3"/>
    <n v="110"/>
    <n v="513100"/>
    <n v="-513100"/>
  </r>
  <r>
    <x v="6"/>
    <x v="3"/>
    <n v="140"/>
    <n v="1176000"/>
    <n v="-1176000"/>
  </r>
  <r>
    <x v="6"/>
    <x v="3"/>
    <n v="141"/>
    <n v="56349540"/>
    <n v="-56349540"/>
  </r>
  <r>
    <x v="6"/>
    <x v="3"/>
    <n v="200"/>
    <n v="357969"/>
    <n v="-357969"/>
  </r>
  <r>
    <x v="6"/>
    <x v="3"/>
    <n v="210"/>
    <n v="4131"/>
    <n v="-4131"/>
  </r>
  <r>
    <x v="6"/>
    <x v="3"/>
    <n v="230"/>
    <n v="294720"/>
    <n v="-294720"/>
  </r>
  <r>
    <x v="7"/>
    <x v="0"/>
    <n v="1"/>
    <n v="0"/>
    <n v="0"/>
  </r>
  <r>
    <x v="7"/>
    <x v="0"/>
    <n v="10"/>
    <n v="0"/>
    <n v="0"/>
  </r>
  <r>
    <x v="7"/>
    <x v="0"/>
    <n v="50"/>
    <n v="0"/>
    <n v="0"/>
  </r>
  <r>
    <x v="7"/>
    <x v="0"/>
    <n v="70"/>
    <n v="0"/>
    <n v="0"/>
  </r>
  <r>
    <x v="7"/>
    <x v="0"/>
    <n v="200"/>
    <n v="0"/>
    <n v="0"/>
  </r>
  <r>
    <x v="7"/>
    <x v="1"/>
    <n v="1"/>
    <n v="0"/>
    <n v="0"/>
  </r>
  <r>
    <x v="7"/>
    <x v="1"/>
    <n v="70"/>
    <n v="0"/>
    <n v="0"/>
  </r>
  <r>
    <x v="7"/>
    <x v="1"/>
    <n v="140"/>
    <n v="0"/>
    <n v="0"/>
  </r>
  <r>
    <x v="7"/>
    <x v="3"/>
    <n v="10"/>
    <n v="0"/>
    <n v="0"/>
  </r>
  <r>
    <x v="7"/>
    <x v="3"/>
    <n v="140"/>
    <n v="0"/>
    <n v="0"/>
  </r>
  <r>
    <x v="8"/>
    <x v="0"/>
    <n v="1"/>
    <n v="10400762"/>
    <n v="10400762"/>
  </r>
  <r>
    <x v="8"/>
    <x v="0"/>
    <n v="10"/>
    <n v="40357280"/>
    <n v="40357280"/>
  </r>
  <r>
    <x v="8"/>
    <x v="0"/>
    <n v="20"/>
    <n v="0"/>
    <n v="0"/>
  </r>
  <r>
    <x v="8"/>
    <x v="0"/>
    <n v="50"/>
    <n v="1147220"/>
    <n v="1147220"/>
  </r>
  <r>
    <x v="8"/>
    <x v="0"/>
    <n v="60"/>
    <n v="66760"/>
    <n v="66760"/>
  </r>
  <r>
    <x v="8"/>
    <x v="0"/>
    <n v="70"/>
    <n v="0"/>
    <n v="0"/>
  </r>
  <r>
    <x v="8"/>
    <x v="0"/>
    <n v="100"/>
    <n v="0"/>
    <n v="0"/>
  </r>
  <r>
    <x v="8"/>
    <x v="0"/>
    <n v="110"/>
    <n v="14185160"/>
    <n v="-14185160"/>
  </r>
  <r>
    <x v="8"/>
    <x v="0"/>
    <n v="120"/>
    <n v="960"/>
    <n v="-960"/>
  </r>
  <r>
    <x v="8"/>
    <x v="0"/>
    <n v="130"/>
    <n v="0"/>
    <n v="0"/>
  </r>
  <r>
    <x v="8"/>
    <x v="0"/>
    <n v="140"/>
    <n v="32960760"/>
    <n v="-32960760"/>
  </r>
  <r>
    <x v="8"/>
    <x v="0"/>
    <n v="141"/>
    <n v="2474440"/>
    <n v="-2474440"/>
  </r>
  <r>
    <x v="8"/>
    <x v="0"/>
    <n v="200"/>
    <n v="196896"/>
    <n v="-196896"/>
  </r>
  <r>
    <x v="8"/>
    <x v="0"/>
    <n v="210"/>
    <n v="401427"/>
    <n v="-401427"/>
  </r>
  <r>
    <x v="8"/>
    <x v="0"/>
    <n v="230"/>
    <n v="0"/>
    <n v="0"/>
  </r>
  <r>
    <x v="8"/>
    <x v="0"/>
    <n v="270"/>
    <n v="0"/>
    <n v="0"/>
  </r>
  <r>
    <x v="8"/>
    <x v="0"/>
    <n v="298"/>
    <n v="0"/>
    <n v="0"/>
  </r>
  <r>
    <x v="8"/>
    <x v="1"/>
    <n v="1"/>
    <n v="13011402"/>
    <n v="13011402"/>
  </r>
  <r>
    <x v="8"/>
    <x v="1"/>
    <n v="10"/>
    <n v="25245820"/>
    <n v="25245820"/>
  </r>
  <r>
    <x v="8"/>
    <x v="1"/>
    <n v="20"/>
    <n v="1218036"/>
    <n v="1218036"/>
  </r>
  <r>
    <x v="8"/>
    <x v="1"/>
    <n v="50"/>
    <n v="38240"/>
    <n v="38240"/>
  </r>
  <r>
    <x v="8"/>
    <x v="1"/>
    <n v="60"/>
    <n v="0"/>
    <n v="0"/>
  </r>
  <r>
    <x v="8"/>
    <x v="1"/>
    <n v="70"/>
    <n v="0"/>
    <n v="0"/>
  </r>
  <r>
    <x v="8"/>
    <x v="1"/>
    <n v="110"/>
    <n v="1183720"/>
    <n v="-1183720"/>
  </r>
  <r>
    <x v="8"/>
    <x v="1"/>
    <n v="120"/>
    <n v="26820"/>
    <n v="-26820"/>
  </r>
  <r>
    <x v="8"/>
    <x v="1"/>
    <n v="130"/>
    <n v="0"/>
    <n v="0"/>
  </r>
  <r>
    <x v="8"/>
    <x v="1"/>
    <n v="140"/>
    <n v="0"/>
    <n v="0"/>
  </r>
  <r>
    <x v="8"/>
    <x v="1"/>
    <n v="141"/>
    <n v="37783000"/>
    <n v="-37783000"/>
  </r>
  <r>
    <x v="8"/>
    <x v="1"/>
    <n v="160"/>
    <n v="0"/>
    <n v="0"/>
  </r>
  <r>
    <x v="8"/>
    <x v="1"/>
    <n v="200"/>
    <n v="125128"/>
    <n v="-125128"/>
  </r>
  <r>
    <x v="8"/>
    <x v="1"/>
    <n v="210"/>
    <n v="0"/>
    <n v="0"/>
  </r>
  <r>
    <x v="8"/>
    <x v="1"/>
    <n v="230"/>
    <n v="394830"/>
    <n v="-394830"/>
  </r>
  <r>
    <x v="8"/>
    <x v="1"/>
    <n v="260"/>
    <n v="0"/>
    <n v="0"/>
  </r>
  <r>
    <x v="8"/>
    <x v="1"/>
    <n v="298"/>
    <n v="0"/>
    <n v="0"/>
  </r>
  <r>
    <x v="8"/>
    <x v="2"/>
    <n v="1"/>
    <n v="8058457"/>
    <n v="8058457"/>
  </r>
  <r>
    <x v="8"/>
    <x v="2"/>
    <n v="10"/>
    <n v="35136760"/>
    <n v="35136760"/>
  </r>
  <r>
    <x v="8"/>
    <x v="2"/>
    <n v="20"/>
    <n v="0"/>
    <n v="0"/>
  </r>
  <r>
    <x v="8"/>
    <x v="2"/>
    <n v="50"/>
    <n v="45560"/>
    <n v="45560"/>
  </r>
  <r>
    <x v="8"/>
    <x v="2"/>
    <n v="60"/>
    <n v="0"/>
    <n v="0"/>
  </r>
  <r>
    <x v="8"/>
    <x v="2"/>
    <n v="70"/>
    <n v="0"/>
    <n v="0"/>
  </r>
  <r>
    <x v="8"/>
    <x v="2"/>
    <n v="110"/>
    <n v="16569920"/>
    <n v="-16569920"/>
  </r>
  <r>
    <x v="8"/>
    <x v="2"/>
    <n v="120"/>
    <n v="0"/>
    <n v="0"/>
  </r>
  <r>
    <x v="8"/>
    <x v="2"/>
    <n v="130"/>
    <n v="0"/>
    <n v="0"/>
  </r>
  <r>
    <x v="8"/>
    <x v="2"/>
    <n v="140"/>
    <n v="0"/>
    <n v="0"/>
  </r>
  <r>
    <x v="8"/>
    <x v="2"/>
    <n v="141"/>
    <n v="453240"/>
    <n v="-453240"/>
  </r>
  <r>
    <x v="8"/>
    <x v="2"/>
    <n v="200"/>
    <n v="175992"/>
    <n v="-175992"/>
  </r>
  <r>
    <x v="8"/>
    <x v="2"/>
    <n v="210"/>
    <n v="48176"/>
    <n v="-48176"/>
  </r>
  <r>
    <x v="8"/>
    <x v="2"/>
    <n v="220"/>
    <n v="0"/>
    <n v="0"/>
  </r>
  <r>
    <x v="8"/>
    <x v="2"/>
    <n v="230"/>
    <n v="172908"/>
    <n v="-172908"/>
  </r>
  <r>
    <x v="8"/>
    <x v="2"/>
    <n v="270"/>
    <n v="0"/>
    <n v="0"/>
  </r>
  <r>
    <x v="8"/>
    <x v="2"/>
    <n v="298"/>
    <n v="0"/>
    <n v="0"/>
  </r>
  <r>
    <x v="8"/>
    <x v="3"/>
    <n v="1"/>
    <n v="14189564"/>
    <n v="14189564"/>
  </r>
  <r>
    <x v="8"/>
    <x v="3"/>
    <n v="10"/>
    <n v="40425780"/>
    <n v="40425780"/>
  </r>
  <r>
    <x v="8"/>
    <x v="3"/>
    <n v="20"/>
    <n v="0"/>
    <n v="0"/>
  </r>
  <r>
    <x v="8"/>
    <x v="3"/>
    <n v="50"/>
    <n v="1407160"/>
    <n v="1407160"/>
  </r>
  <r>
    <x v="8"/>
    <x v="3"/>
    <n v="60"/>
    <n v="0"/>
    <n v="0"/>
  </r>
  <r>
    <x v="8"/>
    <x v="3"/>
    <n v="70"/>
    <n v="0"/>
    <n v="0"/>
  </r>
  <r>
    <x v="8"/>
    <x v="3"/>
    <n v="110"/>
    <n v="10679680"/>
    <n v="-10679680"/>
  </r>
  <r>
    <x v="8"/>
    <x v="3"/>
    <n v="120"/>
    <n v="507473"/>
    <n v="-507473"/>
  </r>
  <r>
    <x v="8"/>
    <x v="3"/>
    <n v="130"/>
    <n v="108327"/>
    <n v="-108327"/>
  </r>
  <r>
    <x v="8"/>
    <x v="3"/>
    <n v="140"/>
    <n v="9955120"/>
    <n v="-9955120"/>
  </r>
  <r>
    <x v="8"/>
    <x v="3"/>
    <n v="141"/>
    <n v="32486840"/>
    <n v="-32486840"/>
  </r>
  <r>
    <x v="8"/>
    <x v="3"/>
    <n v="200"/>
    <n v="394246"/>
    <n v="-394246"/>
  </r>
  <r>
    <x v="8"/>
    <x v="3"/>
    <n v="210"/>
    <n v="217636"/>
    <n v="-217636"/>
  </r>
  <r>
    <x v="8"/>
    <x v="3"/>
    <n v="220"/>
    <n v="0"/>
    <n v="0"/>
  </r>
  <r>
    <x v="8"/>
    <x v="3"/>
    <n v="230"/>
    <n v="202504"/>
    <n v="-202504"/>
  </r>
  <r>
    <x v="8"/>
    <x v="3"/>
    <n v="260"/>
    <n v="0"/>
    <n v="0"/>
  </r>
  <r>
    <x v="8"/>
    <x v="3"/>
    <n v="298"/>
    <n v="0"/>
    <n v="0"/>
  </r>
  <r>
    <x v="8"/>
    <x v="4"/>
    <n v="1"/>
    <n v="0"/>
    <n v="0"/>
  </r>
  <r>
    <x v="8"/>
    <x v="4"/>
    <n v="10"/>
    <n v="580180"/>
    <n v="580180"/>
  </r>
  <r>
    <x v="8"/>
    <x v="4"/>
    <n v="20"/>
    <n v="0"/>
    <n v="0"/>
  </r>
  <r>
    <x v="8"/>
    <x v="4"/>
    <n v="50"/>
    <n v="24240"/>
    <n v="24240"/>
  </r>
  <r>
    <x v="8"/>
    <x v="4"/>
    <n v="60"/>
    <n v="0"/>
    <n v="0"/>
  </r>
  <r>
    <x v="8"/>
    <x v="4"/>
    <n v="70"/>
    <n v="0"/>
    <n v="0"/>
  </r>
  <r>
    <x v="8"/>
    <x v="4"/>
    <n v="100"/>
    <n v="0"/>
    <n v="0"/>
  </r>
  <r>
    <x v="8"/>
    <x v="4"/>
    <n v="110"/>
    <n v="582340"/>
    <n v="-582340"/>
  </r>
  <r>
    <x v="8"/>
    <x v="4"/>
    <n v="120"/>
    <n v="0"/>
    <n v="0"/>
  </r>
  <r>
    <x v="8"/>
    <x v="4"/>
    <n v="130"/>
    <n v="0"/>
    <n v="0"/>
  </r>
  <r>
    <x v="8"/>
    <x v="4"/>
    <n v="140"/>
    <n v="0"/>
    <n v="0"/>
  </r>
  <r>
    <x v="8"/>
    <x v="4"/>
    <n v="200"/>
    <n v="0"/>
    <n v="0"/>
  </r>
  <r>
    <x v="8"/>
    <x v="4"/>
    <n v="210"/>
    <n v="32722"/>
    <n v="-32722"/>
  </r>
  <r>
    <x v="8"/>
    <x v="4"/>
    <n v="220"/>
    <n v="0"/>
    <n v="0"/>
  </r>
  <r>
    <x v="8"/>
    <x v="4"/>
    <n v="230"/>
    <n v="0"/>
    <n v="0"/>
  </r>
  <r>
    <x v="8"/>
    <x v="4"/>
    <n v="270"/>
    <n v="0"/>
    <n v="0"/>
  </r>
  <r>
    <x v="9"/>
    <x v="0"/>
    <n v="1"/>
    <n v="16423892"/>
    <n v="16423892"/>
  </r>
  <r>
    <x v="9"/>
    <x v="0"/>
    <n v="10"/>
    <n v="26277835"/>
    <n v="26277835"/>
  </r>
  <r>
    <x v="9"/>
    <x v="0"/>
    <n v="15"/>
    <n v="0"/>
    <n v="0"/>
  </r>
  <r>
    <x v="9"/>
    <x v="0"/>
    <n v="20"/>
    <n v="0"/>
    <n v="0"/>
  </r>
  <r>
    <x v="9"/>
    <x v="0"/>
    <n v="50"/>
    <n v="0"/>
    <n v="0"/>
  </r>
  <r>
    <x v="9"/>
    <x v="0"/>
    <n v="60"/>
    <n v="55620"/>
    <n v="55620"/>
  </r>
  <r>
    <x v="9"/>
    <x v="0"/>
    <n v="70"/>
    <n v="0"/>
    <n v="0"/>
  </r>
  <r>
    <x v="9"/>
    <x v="0"/>
    <n v="100"/>
    <n v="0"/>
    <n v="0"/>
  </r>
  <r>
    <x v="9"/>
    <x v="0"/>
    <n v="110"/>
    <n v="0"/>
    <n v="0"/>
  </r>
  <r>
    <x v="9"/>
    <x v="0"/>
    <n v="120"/>
    <n v="0"/>
    <n v="0"/>
  </r>
  <r>
    <x v="9"/>
    <x v="0"/>
    <n v="130"/>
    <n v="0"/>
    <n v="0"/>
  </r>
  <r>
    <x v="9"/>
    <x v="0"/>
    <n v="140"/>
    <n v="26129660"/>
    <n v="-26129660"/>
  </r>
  <r>
    <x v="9"/>
    <x v="0"/>
    <n v="200"/>
    <n v="131063"/>
    <n v="-131063"/>
  </r>
  <r>
    <x v="9"/>
    <x v="0"/>
    <n v="210"/>
    <n v="252417"/>
    <n v="-252417"/>
  </r>
  <r>
    <x v="9"/>
    <x v="0"/>
    <n v="220"/>
    <n v="0"/>
    <n v="0"/>
  </r>
  <r>
    <x v="9"/>
    <x v="0"/>
    <n v="230"/>
    <n v="0"/>
    <n v="0"/>
  </r>
  <r>
    <x v="9"/>
    <x v="0"/>
    <n v="298"/>
    <n v="0"/>
    <n v="0"/>
  </r>
  <r>
    <x v="9"/>
    <x v="1"/>
    <n v="1"/>
    <n v="1444243"/>
    <n v="1444243"/>
  </r>
  <r>
    <x v="9"/>
    <x v="1"/>
    <n v="10"/>
    <n v="5364540"/>
    <n v="5364540"/>
  </r>
  <r>
    <x v="9"/>
    <x v="1"/>
    <n v="20"/>
    <n v="1397"/>
    <n v="1397"/>
  </r>
  <r>
    <x v="9"/>
    <x v="1"/>
    <n v="50"/>
    <n v="0"/>
    <n v="0"/>
  </r>
  <r>
    <x v="9"/>
    <x v="1"/>
    <n v="60"/>
    <n v="0"/>
    <n v="0"/>
  </r>
  <r>
    <x v="9"/>
    <x v="1"/>
    <n v="70"/>
    <n v="0"/>
    <n v="0"/>
  </r>
  <r>
    <x v="9"/>
    <x v="1"/>
    <n v="100"/>
    <n v="0"/>
    <n v="0"/>
  </r>
  <r>
    <x v="9"/>
    <x v="1"/>
    <n v="110"/>
    <n v="0"/>
    <n v="0"/>
  </r>
  <r>
    <x v="9"/>
    <x v="1"/>
    <n v="120"/>
    <n v="33780"/>
    <n v="-33780"/>
  </r>
  <r>
    <x v="9"/>
    <x v="1"/>
    <n v="130"/>
    <n v="0"/>
    <n v="0"/>
  </r>
  <r>
    <x v="9"/>
    <x v="1"/>
    <n v="140"/>
    <n v="0"/>
    <n v="0"/>
  </r>
  <r>
    <x v="9"/>
    <x v="1"/>
    <n v="141"/>
    <n v="5228200"/>
    <n v="-5228200"/>
  </r>
  <r>
    <x v="9"/>
    <x v="1"/>
    <n v="200"/>
    <n v="26476"/>
    <n v="-26476"/>
  </r>
  <r>
    <x v="9"/>
    <x v="1"/>
    <n v="210"/>
    <n v="0"/>
    <n v="0"/>
  </r>
  <r>
    <x v="9"/>
    <x v="1"/>
    <n v="220"/>
    <n v="141403"/>
    <n v="-141403"/>
  </r>
  <r>
    <x v="9"/>
    <x v="1"/>
    <n v="230"/>
    <n v="141887"/>
    <n v="-141887"/>
  </r>
  <r>
    <x v="9"/>
    <x v="1"/>
    <n v="260"/>
    <n v="0"/>
    <n v="0"/>
  </r>
  <r>
    <x v="9"/>
    <x v="1"/>
    <n v="298"/>
    <n v="0"/>
    <n v="0"/>
  </r>
  <r>
    <x v="9"/>
    <x v="2"/>
    <n v="1"/>
    <n v="11435959"/>
    <n v="11435959"/>
  </r>
  <r>
    <x v="9"/>
    <x v="2"/>
    <n v="10"/>
    <n v="7818500"/>
    <n v="7818500"/>
  </r>
  <r>
    <x v="9"/>
    <x v="2"/>
    <n v="20"/>
    <n v="56301"/>
    <n v="56301"/>
  </r>
  <r>
    <x v="9"/>
    <x v="2"/>
    <n v="50"/>
    <n v="11720"/>
    <n v="11720"/>
  </r>
  <r>
    <x v="9"/>
    <x v="2"/>
    <n v="60"/>
    <n v="0"/>
    <n v="0"/>
  </r>
  <r>
    <x v="9"/>
    <x v="2"/>
    <n v="70"/>
    <n v="0"/>
    <n v="0"/>
  </r>
  <r>
    <x v="9"/>
    <x v="2"/>
    <n v="110"/>
    <n v="11492020"/>
    <n v="-11492020"/>
  </r>
  <r>
    <x v="9"/>
    <x v="2"/>
    <n v="120"/>
    <n v="0"/>
    <n v="0"/>
  </r>
  <r>
    <x v="9"/>
    <x v="2"/>
    <n v="130"/>
    <n v="0"/>
    <n v="0"/>
  </r>
  <r>
    <x v="9"/>
    <x v="2"/>
    <n v="140"/>
    <n v="11960"/>
    <n v="-11960"/>
  </r>
  <r>
    <x v="9"/>
    <x v="2"/>
    <n v="200"/>
    <n v="39092"/>
    <n v="-39092"/>
  </r>
  <r>
    <x v="9"/>
    <x v="2"/>
    <n v="210"/>
    <n v="26662"/>
    <n v="-26662"/>
  </r>
  <r>
    <x v="9"/>
    <x v="2"/>
    <n v="220"/>
    <n v="0"/>
    <n v="0"/>
  </r>
  <r>
    <x v="9"/>
    <x v="2"/>
    <n v="230"/>
    <n v="27451"/>
    <n v="-27451"/>
  </r>
  <r>
    <x v="9"/>
    <x v="2"/>
    <n v="270"/>
    <n v="0"/>
    <n v="0"/>
  </r>
  <r>
    <x v="9"/>
    <x v="2"/>
    <n v="298"/>
    <n v="0"/>
    <n v="0"/>
  </r>
  <r>
    <x v="9"/>
    <x v="3"/>
    <n v="1"/>
    <n v="19559651"/>
    <n v="19559651"/>
  </r>
  <r>
    <x v="9"/>
    <x v="3"/>
    <n v="10"/>
    <n v="30356700"/>
    <n v="30356700"/>
  </r>
  <r>
    <x v="9"/>
    <x v="3"/>
    <n v="20"/>
    <n v="0"/>
    <n v="0"/>
  </r>
  <r>
    <x v="9"/>
    <x v="3"/>
    <n v="50"/>
    <n v="104720"/>
    <n v="104720"/>
  </r>
  <r>
    <x v="9"/>
    <x v="3"/>
    <n v="60"/>
    <n v="0"/>
    <n v="0"/>
  </r>
  <r>
    <x v="9"/>
    <x v="3"/>
    <n v="100"/>
    <n v="0"/>
    <n v="0"/>
  </r>
  <r>
    <x v="9"/>
    <x v="3"/>
    <n v="110"/>
    <n v="22874980"/>
    <n v="-22874980"/>
  </r>
  <r>
    <x v="9"/>
    <x v="3"/>
    <n v="120"/>
    <n v="241740"/>
    <n v="-241740"/>
  </r>
  <r>
    <x v="9"/>
    <x v="3"/>
    <n v="130"/>
    <n v="0"/>
    <n v="0"/>
  </r>
  <r>
    <x v="9"/>
    <x v="3"/>
    <n v="140"/>
    <n v="0"/>
    <n v="0"/>
  </r>
  <r>
    <x v="9"/>
    <x v="3"/>
    <n v="200"/>
    <n v="303488"/>
    <n v="-303488"/>
  </r>
  <r>
    <x v="9"/>
    <x v="3"/>
    <n v="210"/>
    <n v="10394"/>
    <n v="-10394"/>
  </r>
  <r>
    <x v="9"/>
    <x v="3"/>
    <n v="220"/>
    <n v="0"/>
    <n v="0"/>
  </r>
  <r>
    <x v="9"/>
    <x v="3"/>
    <n v="230"/>
    <n v="420601"/>
    <n v="-420601"/>
  </r>
  <r>
    <x v="9"/>
    <x v="3"/>
    <n v="298"/>
    <n v="0"/>
    <n v="0"/>
  </r>
  <r>
    <x v="9"/>
    <x v="4"/>
    <n v="1"/>
    <n v="0"/>
    <n v="0"/>
  </r>
  <r>
    <x v="9"/>
    <x v="4"/>
    <n v="10"/>
    <n v="0"/>
    <n v="0"/>
  </r>
  <r>
    <x v="9"/>
    <x v="4"/>
    <n v="20"/>
    <n v="0"/>
    <n v="0"/>
  </r>
  <r>
    <x v="9"/>
    <x v="4"/>
    <n v="50"/>
    <n v="0"/>
    <n v="0"/>
  </r>
  <r>
    <x v="9"/>
    <x v="4"/>
    <n v="60"/>
    <n v="0"/>
    <n v="0"/>
  </r>
  <r>
    <x v="9"/>
    <x v="4"/>
    <n v="70"/>
    <n v="0"/>
    <n v="0"/>
  </r>
  <r>
    <x v="9"/>
    <x v="4"/>
    <n v="100"/>
    <n v="0"/>
    <n v="0"/>
  </r>
  <r>
    <x v="9"/>
    <x v="4"/>
    <n v="110"/>
    <n v="0"/>
    <n v="0"/>
  </r>
  <r>
    <x v="9"/>
    <x v="4"/>
    <n v="120"/>
    <n v="0"/>
    <n v="0"/>
  </r>
  <r>
    <x v="9"/>
    <x v="4"/>
    <n v="140"/>
    <n v="0"/>
    <n v="0"/>
  </r>
  <r>
    <x v="9"/>
    <x v="4"/>
    <n v="200"/>
    <n v="0"/>
    <n v="0"/>
  </r>
  <r>
    <x v="9"/>
    <x v="4"/>
    <n v="210"/>
    <n v="0"/>
    <n v="0"/>
  </r>
  <r>
    <x v="9"/>
    <x v="4"/>
    <n v="230"/>
    <n v="0"/>
    <n v="0"/>
  </r>
  <r>
    <x v="10"/>
    <x v="0"/>
    <n v="1"/>
    <n v="0"/>
    <n v="0"/>
  </r>
  <r>
    <x v="10"/>
    <x v="0"/>
    <n v="10"/>
    <n v="8699620"/>
    <n v="8699620"/>
  </r>
  <r>
    <x v="10"/>
    <x v="0"/>
    <n v="20"/>
    <n v="0"/>
    <n v="0"/>
  </r>
  <r>
    <x v="10"/>
    <x v="0"/>
    <n v="50"/>
    <n v="1627060"/>
    <n v="1627060"/>
  </r>
  <r>
    <x v="10"/>
    <x v="0"/>
    <n v="70"/>
    <n v="0"/>
    <n v="0"/>
  </r>
  <r>
    <x v="10"/>
    <x v="0"/>
    <n v="110"/>
    <n v="5927440"/>
    <n v="-5927440"/>
  </r>
  <r>
    <x v="10"/>
    <x v="0"/>
    <n v="120"/>
    <n v="0"/>
    <n v="0"/>
  </r>
  <r>
    <x v="10"/>
    <x v="0"/>
    <n v="130"/>
    <n v="0"/>
    <n v="0"/>
  </r>
  <r>
    <x v="10"/>
    <x v="0"/>
    <n v="140"/>
    <n v="1100360"/>
    <n v="-1100360"/>
  </r>
  <r>
    <x v="10"/>
    <x v="0"/>
    <n v="200"/>
    <n v="43399"/>
    <n v="-43399"/>
  </r>
  <r>
    <x v="10"/>
    <x v="0"/>
    <n v="210"/>
    <n v="54216"/>
    <n v="-54216"/>
  </r>
  <r>
    <x v="10"/>
    <x v="0"/>
    <n v="220"/>
    <n v="0"/>
    <n v="0"/>
  </r>
  <r>
    <x v="10"/>
    <x v="0"/>
    <n v="230"/>
    <n v="0"/>
    <n v="0"/>
  </r>
  <r>
    <x v="10"/>
    <x v="0"/>
    <n v="298"/>
    <n v="0"/>
    <n v="0"/>
  </r>
  <r>
    <x v="10"/>
    <x v="1"/>
    <n v="1"/>
    <n v="0"/>
    <n v="0"/>
  </r>
  <r>
    <x v="10"/>
    <x v="1"/>
    <n v="10"/>
    <n v="0"/>
    <n v="0"/>
  </r>
  <r>
    <x v="10"/>
    <x v="1"/>
    <n v="20"/>
    <n v="0"/>
    <n v="0"/>
  </r>
  <r>
    <x v="10"/>
    <x v="1"/>
    <n v="50"/>
    <n v="0"/>
    <n v="0"/>
  </r>
  <r>
    <x v="10"/>
    <x v="1"/>
    <n v="70"/>
    <n v="0"/>
    <n v="0"/>
  </r>
  <r>
    <x v="10"/>
    <x v="1"/>
    <n v="110"/>
    <n v="0"/>
    <n v="0"/>
  </r>
  <r>
    <x v="10"/>
    <x v="1"/>
    <n v="120"/>
    <n v="0"/>
    <n v="0"/>
  </r>
  <r>
    <x v="10"/>
    <x v="1"/>
    <n v="130"/>
    <n v="0"/>
    <n v="0"/>
  </r>
  <r>
    <x v="10"/>
    <x v="1"/>
    <n v="140"/>
    <n v="0"/>
    <n v="0"/>
  </r>
  <r>
    <x v="10"/>
    <x v="1"/>
    <n v="200"/>
    <n v="0"/>
    <n v="0"/>
  </r>
  <r>
    <x v="10"/>
    <x v="1"/>
    <n v="210"/>
    <n v="0"/>
    <n v="0"/>
  </r>
  <r>
    <x v="10"/>
    <x v="1"/>
    <n v="220"/>
    <n v="0"/>
    <n v="0"/>
  </r>
  <r>
    <x v="10"/>
    <x v="1"/>
    <n v="230"/>
    <n v="0"/>
    <n v="0"/>
  </r>
  <r>
    <x v="10"/>
    <x v="1"/>
    <n v="260"/>
    <n v="0"/>
    <n v="0"/>
  </r>
  <r>
    <x v="10"/>
    <x v="1"/>
    <n v="298"/>
    <n v="0"/>
    <n v="0"/>
  </r>
  <r>
    <x v="10"/>
    <x v="2"/>
    <n v="1"/>
    <n v="0"/>
    <n v="0"/>
  </r>
  <r>
    <x v="10"/>
    <x v="2"/>
    <n v="10"/>
    <n v="0"/>
    <n v="0"/>
  </r>
  <r>
    <x v="10"/>
    <x v="2"/>
    <n v="50"/>
    <n v="0"/>
    <n v="0"/>
  </r>
  <r>
    <x v="10"/>
    <x v="2"/>
    <n v="110"/>
    <n v="0"/>
    <n v="0"/>
  </r>
  <r>
    <x v="10"/>
    <x v="2"/>
    <n v="140"/>
    <n v="0"/>
    <n v="0"/>
  </r>
  <r>
    <x v="10"/>
    <x v="2"/>
    <n v="200"/>
    <n v="0"/>
    <n v="0"/>
  </r>
  <r>
    <x v="10"/>
    <x v="2"/>
    <n v="220"/>
    <n v="0"/>
    <n v="0"/>
  </r>
  <r>
    <x v="10"/>
    <x v="3"/>
    <n v="140"/>
    <n v="0"/>
    <n v="0"/>
  </r>
  <r>
    <x v="10"/>
    <x v="3"/>
    <n v="160"/>
    <n v="0"/>
    <n v="0"/>
  </r>
  <r>
    <x v="11"/>
    <x v="0"/>
    <n v="1"/>
    <n v="17355165"/>
    <n v="17355165"/>
  </r>
  <r>
    <x v="11"/>
    <x v="0"/>
    <n v="10"/>
    <n v="1731480"/>
    <n v="1731480"/>
  </r>
  <r>
    <x v="11"/>
    <x v="0"/>
    <n v="20"/>
    <n v="0"/>
    <n v="0"/>
  </r>
  <r>
    <x v="11"/>
    <x v="0"/>
    <n v="50"/>
    <n v="18774200"/>
    <n v="18774200"/>
  </r>
  <r>
    <x v="11"/>
    <x v="0"/>
    <n v="51"/>
    <n v="2320300"/>
    <n v="2320300"/>
  </r>
  <r>
    <x v="11"/>
    <x v="0"/>
    <n v="70"/>
    <n v="0"/>
    <n v="0"/>
  </r>
  <r>
    <x v="11"/>
    <x v="0"/>
    <n v="110"/>
    <n v="452900"/>
    <n v="-452900"/>
  </r>
  <r>
    <x v="11"/>
    <x v="0"/>
    <n v="120"/>
    <n v="0"/>
    <n v="0"/>
  </r>
  <r>
    <x v="11"/>
    <x v="0"/>
    <n v="130"/>
    <n v="0"/>
    <n v="0"/>
  </r>
  <r>
    <x v="11"/>
    <x v="0"/>
    <n v="140"/>
    <n v="0"/>
    <n v="0"/>
  </r>
  <r>
    <x v="11"/>
    <x v="0"/>
    <n v="141"/>
    <n v="16753920"/>
    <n v="-16753920"/>
  </r>
  <r>
    <x v="11"/>
    <x v="0"/>
    <n v="200"/>
    <n v="8155"/>
    <n v="-8155"/>
  </r>
  <r>
    <x v="11"/>
    <x v="0"/>
    <n v="210"/>
    <n v="110650"/>
    <n v="-110650"/>
  </r>
  <r>
    <x v="11"/>
    <x v="0"/>
    <n v="211"/>
    <n v="48995"/>
    <n v="-48995"/>
  </r>
  <r>
    <x v="11"/>
    <x v="0"/>
    <n v="220"/>
    <n v="0"/>
    <n v="0"/>
  </r>
  <r>
    <x v="11"/>
    <x v="0"/>
    <n v="230"/>
    <n v="0"/>
    <n v="0"/>
  </r>
  <r>
    <x v="11"/>
    <x v="0"/>
    <n v="298"/>
    <n v="0"/>
    <n v="0"/>
  </r>
  <r>
    <x v="11"/>
    <x v="1"/>
    <n v="1"/>
    <n v="0"/>
    <n v="0"/>
  </r>
  <r>
    <x v="11"/>
    <x v="1"/>
    <n v="10"/>
    <n v="163480"/>
    <n v="163480"/>
  </r>
  <r>
    <x v="11"/>
    <x v="1"/>
    <n v="20"/>
    <n v="0"/>
    <n v="0"/>
  </r>
  <r>
    <x v="11"/>
    <x v="1"/>
    <n v="50"/>
    <n v="108820"/>
    <n v="108820"/>
  </r>
  <r>
    <x v="11"/>
    <x v="1"/>
    <n v="70"/>
    <n v="0"/>
    <n v="0"/>
  </r>
  <r>
    <x v="11"/>
    <x v="1"/>
    <n v="110"/>
    <n v="0"/>
    <n v="0"/>
  </r>
  <r>
    <x v="11"/>
    <x v="1"/>
    <n v="120"/>
    <n v="0"/>
    <n v="0"/>
  </r>
  <r>
    <x v="11"/>
    <x v="1"/>
    <n v="130"/>
    <n v="0"/>
    <n v="0"/>
  </r>
  <r>
    <x v="11"/>
    <x v="1"/>
    <n v="140"/>
    <n v="0"/>
    <n v="0"/>
  </r>
  <r>
    <x v="11"/>
    <x v="1"/>
    <n v="141"/>
    <n v="271380"/>
    <n v="-271380"/>
  </r>
  <r>
    <x v="11"/>
    <x v="1"/>
    <n v="160"/>
    <n v="0"/>
    <n v="0"/>
  </r>
  <r>
    <x v="11"/>
    <x v="1"/>
    <n v="200"/>
    <n v="817"/>
    <n v="-817"/>
  </r>
  <r>
    <x v="11"/>
    <x v="1"/>
    <n v="210"/>
    <n v="0"/>
    <n v="0"/>
  </r>
  <r>
    <x v="11"/>
    <x v="1"/>
    <n v="220"/>
    <n v="0"/>
    <n v="0"/>
  </r>
  <r>
    <x v="11"/>
    <x v="1"/>
    <n v="230"/>
    <n v="4595"/>
    <n v="-4595"/>
  </r>
  <r>
    <x v="11"/>
    <x v="1"/>
    <n v="260"/>
    <n v="0"/>
    <n v="0"/>
  </r>
  <r>
    <x v="11"/>
    <x v="1"/>
    <n v="298"/>
    <n v="0"/>
    <n v="0"/>
  </r>
  <r>
    <x v="11"/>
    <x v="2"/>
    <n v="1"/>
    <n v="6614431"/>
    <n v="6614431"/>
  </r>
  <r>
    <x v="11"/>
    <x v="2"/>
    <n v="10"/>
    <n v="419380"/>
    <n v="419380"/>
  </r>
  <r>
    <x v="11"/>
    <x v="2"/>
    <n v="20"/>
    <n v="0"/>
    <n v="0"/>
  </r>
  <r>
    <x v="11"/>
    <x v="2"/>
    <n v="50"/>
    <n v="7306460"/>
    <n v="7306460"/>
  </r>
  <r>
    <x v="11"/>
    <x v="2"/>
    <n v="70"/>
    <n v="0"/>
    <n v="0"/>
  </r>
  <r>
    <x v="11"/>
    <x v="2"/>
    <n v="110"/>
    <n v="6463480"/>
    <n v="-6463480"/>
  </r>
  <r>
    <x v="11"/>
    <x v="2"/>
    <n v="120"/>
    <n v="320"/>
    <n v="-320"/>
  </r>
  <r>
    <x v="11"/>
    <x v="2"/>
    <n v="130"/>
    <n v="0"/>
    <n v="0"/>
  </r>
  <r>
    <x v="11"/>
    <x v="2"/>
    <n v="140"/>
    <n v="0"/>
    <n v="0"/>
  </r>
  <r>
    <x v="11"/>
    <x v="2"/>
    <n v="200"/>
    <n v="1939"/>
    <n v="-1939"/>
  </r>
  <r>
    <x v="11"/>
    <x v="2"/>
    <n v="210"/>
    <n v="56641"/>
    <n v="-56641"/>
  </r>
  <r>
    <x v="11"/>
    <x v="2"/>
    <n v="220"/>
    <n v="0"/>
    <n v="0"/>
  </r>
  <r>
    <x v="11"/>
    <x v="2"/>
    <n v="230"/>
    <n v="16872"/>
    <n v="-16872"/>
  </r>
  <r>
    <x v="11"/>
    <x v="2"/>
    <n v="270"/>
    <n v="0"/>
    <n v="0"/>
  </r>
  <r>
    <x v="11"/>
    <x v="2"/>
    <n v="298"/>
    <n v="0"/>
    <n v="0"/>
  </r>
  <r>
    <x v="11"/>
    <x v="3"/>
    <n v="1"/>
    <n v="8463863"/>
    <n v="8463863"/>
  </r>
  <r>
    <x v="11"/>
    <x v="3"/>
    <n v="10"/>
    <n v="0"/>
    <n v="0"/>
  </r>
  <r>
    <x v="11"/>
    <x v="3"/>
    <n v="20"/>
    <n v="0"/>
    <n v="0"/>
  </r>
  <r>
    <x v="11"/>
    <x v="3"/>
    <n v="50"/>
    <n v="336480"/>
    <n v="336480"/>
  </r>
  <r>
    <x v="11"/>
    <x v="3"/>
    <n v="70"/>
    <n v="0"/>
    <n v="0"/>
  </r>
  <r>
    <x v="11"/>
    <x v="3"/>
    <n v="110"/>
    <n v="2968400"/>
    <n v="-2968400"/>
  </r>
  <r>
    <x v="11"/>
    <x v="3"/>
    <n v="120"/>
    <n v="35480"/>
    <n v="-35480"/>
  </r>
  <r>
    <x v="11"/>
    <x v="3"/>
    <n v="130"/>
    <n v="0"/>
    <n v="0"/>
  </r>
  <r>
    <x v="11"/>
    <x v="3"/>
    <n v="140"/>
    <n v="0"/>
    <n v="0"/>
  </r>
  <r>
    <x v="11"/>
    <x v="3"/>
    <n v="141"/>
    <n v="5742340"/>
    <n v="-5742340"/>
  </r>
  <r>
    <x v="11"/>
    <x v="3"/>
    <n v="200"/>
    <n v="0"/>
    <n v="0"/>
  </r>
  <r>
    <x v="11"/>
    <x v="3"/>
    <n v="210"/>
    <n v="9720"/>
    <n v="-9720"/>
  </r>
  <r>
    <x v="11"/>
    <x v="3"/>
    <n v="220"/>
    <n v="44403"/>
    <n v="-44403"/>
  </r>
  <r>
    <x v="11"/>
    <x v="3"/>
    <n v="230"/>
    <n v="0"/>
    <n v="0"/>
  </r>
  <r>
    <x v="11"/>
    <x v="3"/>
    <n v="298"/>
    <n v="0"/>
    <n v="0"/>
  </r>
  <r>
    <x v="11"/>
    <x v="4"/>
    <n v="1"/>
    <n v="0"/>
    <n v="0"/>
  </r>
  <r>
    <x v="11"/>
    <x v="4"/>
    <n v="10"/>
    <n v="0"/>
    <n v="0"/>
  </r>
  <r>
    <x v="11"/>
    <x v="4"/>
    <n v="20"/>
    <n v="0"/>
    <n v="0"/>
  </r>
  <r>
    <x v="11"/>
    <x v="4"/>
    <n v="50"/>
    <n v="0"/>
    <n v="0"/>
  </r>
  <r>
    <x v="11"/>
    <x v="4"/>
    <n v="70"/>
    <n v="0"/>
    <n v="0"/>
  </r>
  <r>
    <x v="11"/>
    <x v="4"/>
    <n v="110"/>
    <n v="0"/>
    <n v="0"/>
  </r>
  <r>
    <x v="11"/>
    <x v="4"/>
    <n v="140"/>
    <n v="0"/>
    <n v="0"/>
  </r>
  <r>
    <x v="11"/>
    <x v="4"/>
    <n v="200"/>
    <n v="0"/>
    <n v="0"/>
  </r>
  <r>
    <x v="11"/>
    <x v="4"/>
    <n v="210"/>
    <n v="0"/>
    <n v="0"/>
  </r>
  <r>
    <x v="11"/>
    <x v="4"/>
    <n v="230"/>
    <n v="0"/>
    <n v="0"/>
  </r>
  <r>
    <x v="12"/>
    <x v="0"/>
    <n v="1"/>
    <n v="3397934"/>
    <n v="3397934"/>
  </r>
  <r>
    <x v="12"/>
    <x v="0"/>
    <n v="10"/>
    <n v="9058640"/>
    <n v="9058640"/>
  </r>
  <r>
    <x v="12"/>
    <x v="0"/>
    <n v="20"/>
    <n v="0"/>
    <n v="0"/>
  </r>
  <r>
    <x v="12"/>
    <x v="0"/>
    <n v="50"/>
    <n v="2517140"/>
    <n v="2517140"/>
  </r>
  <r>
    <x v="12"/>
    <x v="0"/>
    <n v="60"/>
    <n v="0"/>
    <n v="0"/>
  </r>
  <r>
    <x v="12"/>
    <x v="0"/>
    <n v="70"/>
    <n v="0"/>
    <n v="0"/>
  </r>
  <r>
    <x v="12"/>
    <x v="0"/>
    <n v="110"/>
    <n v="5796280"/>
    <n v="-5796280"/>
  </r>
  <r>
    <x v="12"/>
    <x v="0"/>
    <n v="120"/>
    <n v="0"/>
    <n v="0"/>
  </r>
  <r>
    <x v="12"/>
    <x v="0"/>
    <n v="130"/>
    <n v="0"/>
    <n v="0"/>
  </r>
  <r>
    <x v="12"/>
    <x v="0"/>
    <n v="140"/>
    <n v="51740"/>
    <n v="-51740"/>
  </r>
  <r>
    <x v="12"/>
    <x v="0"/>
    <n v="141"/>
    <n v="2016790"/>
    <n v="-2016790"/>
  </r>
  <r>
    <x v="12"/>
    <x v="0"/>
    <n v="200"/>
    <n v="45293"/>
    <n v="-45293"/>
  </r>
  <r>
    <x v="12"/>
    <x v="0"/>
    <n v="210"/>
    <n v="35191"/>
    <n v="-35191"/>
  </r>
  <r>
    <x v="12"/>
    <x v="0"/>
    <n v="220"/>
    <n v="0"/>
    <n v="0"/>
  </r>
  <r>
    <x v="12"/>
    <x v="0"/>
    <n v="230"/>
    <n v="0"/>
    <n v="0"/>
  </r>
  <r>
    <x v="12"/>
    <x v="0"/>
    <n v="298"/>
    <n v="0"/>
    <n v="0"/>
  </r>
  <r>
    <x v="12"/>
    <x v="1"/>
    <n v="1"/>
    <n v="0"/>
    <n v="0"/>
  </r>
  <r>
    <x v="12"/>
    <x v="1"/>
    <n v="10"/>
    <n v="0"/>
    <n v="0"/>
  </r>
  <r>
    <x v="12"/>
    <x v="1"/>
    <n v="20"/>
    <n v="0"/>
    <n v="0"/>
  </r>
  <r>
    <x v="12"/>
    <x v="1"/>
    <n v="50"/>
    <n v="0"/>
    <n v="0"/>
  </r>
  <r>
    <x v="12"/>
    <x v="1"/>
    <n v="70"/>
    <n v="0"/>
    <n v="0"/>
  </r>
  <r>
    <x v="12"/>
    <x v="1"/>
    <n v="110"/>
    <n v="0"/>
    <n v="0"/>
  </r>
  <r>
    <x v="12"/>
    <x v="1"/>
    <n v="120"/>
    <n v="0"/>
    <n v="0"/>
  </r>
  <r>
    <x v="12"/>
    <x v="1"/>
    <n v="130"/>
    <n v="0"/>
    <n v="0"/>
  </r>
  <r>
    <x v="12"/>
    <x v="1"/>
    <n v="140"/>
    <n v="0"/>
    <n v="0"/>
  </r>
  <r>
    <x v="12"/>
    <x v="1"/>
    <n v="200"/>
    <n v="0"/>
    <n v="0"/>
  </r>
  <r>
    <x v="12"/>
    <x v="1"/>
    <n v="210"/>
    <n v="0"/>
    <n v="0"/>
  </r>
  <r>
    <x v="12"/>
    <x v="1"/>
    <n v="220"/>
    <n v="0"/>
    <n v="0"/>
  </r>
  <r>
    <x v="12"/>
    <x v="1"/>
    <n v="230"/>
    <n v="0"/>
    <n v="0"/>
  </r>
  <r>
    <x v="12"/>
    <x v="1"/>
    <n v="260"/>
    <n v="0"/>
    <n v="0"/>
  </r>
  <r>
    <x v="12"/>
    <x v="1"/>
    <n v="298"/>
    <n v="0"/>
    <n v="0"/>
  </r>
  <r>
    <x v="12"/>
    <x v="2"/>
    <n v="1"/>
    <n v="0"/>
    <n v="0"/>
  </r>
  <r>
    <x v="12"/>
    <x v="2"/>
    <n v="10"/>
    <n v="0"/>
    <n v="0"/>
  </r>
  <r>
    <x v="12"/>
    <x v="2"/>
    <n v="20"/>
    <n v="0"/>
    <n v="0"/>
  </r>
  <r>
    <x v="12"/>
    <x v="2"/>
    <n v="50"/>
    <n v="0"/>
    <n v="0"/>
  </r>
  <r>
    <x v="12"/>
    <x v="2"/>
    <n v="70"/>
    <n v="0"/>
    <n v="0"/>
  </r>
  <r>
    <x v="12"/>
    <x v="2"/>
    <n v="110"/>
    <n v="0"/>
    <n v="0"/>
  </r>
  <r>
    <x v="12"/>
    <x v="2"/>
    <n v="120"/>
    <n v="0"/>
    <n v="0"/>
  </r>
  <r>
    <x v="12"/>
    <x v="2"/>
    <n v="140"/>
    <n v="0"/>
    <n v="0"/>
  </r>
  <r>
    <x v="12"/>
    <x v="2"/>
    <n v="200"/>
    <n v="0"/>
    <n v="0"/>
  </r>
  <r>
    <x v="12"/>
    <x v="2"/>
    <n v="210"/>
    <n v="0"/>
    <n v="0"/>
  </r>
  <r>
    <x v="12"/>
    <x v="2"/>
    <n v="220"/>
    <n v="0"/>
    <n v="0"/>
  </r>
  <r>
    <x v="12"/>
    <x v="2"/>
    <n v="230"/>
    <n v="0"/>
    <n v="0"/>
  </r>
  <r>
    <x v="12"/>
    <x v="2"/>
    <n v="270"/>
    <n v="0"/>
    <n v="0"/>
  </r>
  <r>
    <x v="12"/>
    <x v="2"/>
    <n v="298"/>
    <n v="0"/>
    <n v="0"/>
  </r>
  <r>
    <x v="12"/>
    <x v="3"/>
    <n v="1"/>
    <n v="0"/>
    <n v="0"/>
  </r>
  <r>
    <x v="12"/>
    <x v="3"/>
    <n v="10"/>
    <n v="0"/>
    <n v="0"/>
  </r>
  <r>
    <x v="12"/>
    <x v="3"/>
    <n v="50"/>
    <n v="0"/>
    <n v="0"/>
  </r>
  <r>
    <x v="12"/>
    <x v="3"/>
    <n v="110"/>
    <n v="0"/>
    <n v="0"/>
  </r>
  <r>
    <x v="12"/>
    <x v="3"/>
    <n v="120"/>
    <n v="0"/>
    <n v="0"/>
  </r>
  <r>
    <x v="12"/>
    <x v="3"/>
    <n v="130"/>
    <n v="0"/>
    <n v="0"/>
  </r>
  <r>
    <x v="12"/>
    <x v="3"/>
    <n v="140"/>
    <n v="0"/>
    <n v="0"/>
  </r>
  <r>
    <x v="12"/>
    <x v="3"/>
    <n v="200"/>
    <n v="0"/>
    <n v="0"/>
  </r>
  <r>
    <x v="12"/>
    <x v="3"/>
    <n v="210"/>
    <n v="0"/>
    <n v="0"/>
  </r>
  <r>
    <x v="12"/>
    <x v="3"/>
    <n v="220"/>
    <n v="0"/>
    <n v="0"/>
  </r>
  <r>
    <x v="12"/>
    <x v="3"/>
    <n v="230"/>
    <n v="0"/>
    <n v="0"/>
  </r>
  <r>
    <x v="12"/>
    <x v="3"/>
    <n v="298"/>
    <n v="0"/>
    <n v="0"/>
  </r>
  <r>
    <x v="12"/>
    <x v="4"/>
    <n v="1"/>
    <n v="6428"/>
    <n v="6428"/>
  </r>
  <r>
    <x v="12"/>
    <x v="4"/>
    <n v="10"/>
    <n v="14980"/>
    <n v="14980"/>
  </r>
  <r>
    <x v="12"/>
    <x v="4"/>
    <n v="20"/>
    <n v="1351"/>
    <n v="1351"/>
  </r>
  <r>
    <x v="12"/>
    <x v="4"/>
    <n v="50"/>
    <n v="11120"/>
    <n v="11120"/>
  </r>
  <r>
    <x v="12"/>
    <x v="4"/>
    <n v="110"/>
    <n v="33280"/>
    <n v="-33280"/>
  </r>
  <r>
    <x v="12"/>
    <x v="4"/>
    <n v="210"/>
    <n v="599"/>
    <n v="-599"/>
  </r>
  <r>
    <x v="13"/>
    <x v="0"/>
    <n v="1"/>
    <n v="178633"/>
    <n v="178633"/>
  </r>
  <r>
    <x v="13"/>
    <x v="0"/>
    <n v="10"/>
    <n v="37752020"/>
    <n v="37752020"/>
  </r>
  <r>
    <x v="13"/>
    <x v="0"/>
    <n v="20"/>
    <n v="575732"/>
    <n v="575732"/>
  </r>
  <r>
    <x v="13"/>
    <x v="0"/>
    <n v="60"/>
    <n v="0"/>
    <n v="0"/>
  </r>
  <r>
    <x v="13"/>
    <x v="0"/>
    <n v="70"/>
    <n v="0"/>
    <n v="0"/>
  </r>
  <r>
    <x v="13"/>
    <x v="0"/>
    <n v="110"/>
    <n v="13245300"/>
    <n v="-13245300"/>
  </r>
  <r>
    <x v="13"/>
    <x v="0"/>
    <n v="120"/>
    <n v="0"/>
    <n v="0"/>
  </r>
  <r>
    <x v="13"/>
    <x v="0"/>
    <n v="130"/>
    <n v="0"/>
    <n v="0"/>
  </r>
  <r>
    <x v="13"/>
    <x v="0"/>
    <n v="140"/>
    <n v="24018480"/>
    <n v="-24018480"/>
  </r>
  <r>
    <x v="13"/>
    <x v="0"/>
    <n v="200"/>
    <n v="182102"/>
    <n v="-182102"/>
  </r>
  <r>
    <x v="13"/>
    <x v="0"/>
    <n v="210"/>
    <n v="212475"/>
    <n v="-212475"/>
  </r>
  <r>
    <x v="13"/>
    <x v="0"/>
    <n v="220"/>
    <n v="0"/>
    <n v="0"/>
  </r>
  <r>
    <x v="13"/>
    <x v="0"/>
    <n v="230"/>
    <n v="0"/>
    <n v="0"/>
  </r>
  <r>
    <x v="13"/>
    <x v="0"/>
    <n v="298"/>
    <n v="0"/>
    <n v="0"/>
  </r>
  <r>
    <x v="13"/>
    <x v="1"/>
    <n v="1"/>
    <n v="0"/>
    <n v="0"/>
  </r>
  <r>
    <x v="13"/>
    <x v="1"/>
    <n v="10"/>
    <n v="11341280"/>
    <n v="11341280"/>
  </r>
  <r>
    <x v="13"/>
    <x v="1"/>
    <n v="20"/>
    <n v="0"/>
    <n v="0"/>
  </r>
  <r>
    <x v="13"/>
    <x v="1"/>
    <n v="50"/>
    <n v="0"/>
    <n v="0"/>
  </r>
  <r>
    <x v="13"/>
    <x v="1"/>
    <n v="70"/>
    <n v="0"/>
    <n v="0"/>
  </r>
  <r>
    <x v="13"/>
    <x v="1"/>
    <n v="110"/>
    <n v="2639580"/>
    <n v="-2639580"/>
  </r>
  <r>
    <x v="13"/>
    <x v="1"/>
    <n v="120"/>
    <n v="0"/>
    <n v="0"/>
  </r>
  <r>
    <x v="13"/>
    <x v="1"/>
    <n v="130"/>
    <n v="0"/>
    <n v="0"/>
  </r>
  <r>
    <x v="13"/>
    <x v="1"/>
    <n v="140"/>
    <n v="0"/>
    <n v="0"/>
  </r>
  <r>
    <x v="13"/>
    <x v="1"/>
    <n v="141"/>
    <n v="4264000"/>
    <n v="-4264000"/>
  </r>
  <r>
    <x v="13"/>
    <x v="1"/>
    <n v="200"/>
    <n v="56706"/>
    <n v="-56706"/>
  </r>
  <r>
    <x v="13"/>
    <x v="1"/>
    <n v="210"/>
    <n v="0"/>
    <n v="0"/>
  </r>
  <r>
    <x v="13"/>
    <x v="1"/>
    <n v="220"/>
    <n v="0"/>
    <n v="0"/>
  </r>
  <r>
    <x v="13"/>
    <x v="1"/>
    <n v="230"/>
    <n v="262111"/>
    <n v="-262111"/>
  </r>
  <r>
    <x v="13"/>
    <x v="1"/>
    <n v="298"/>
    <n v="0"/>
    <n v="0"/>
  </r>
  <r>
    <x v="13"/>
    <x v="2"/>
    <n v="1"/>
    <n v="5630252"/>
    <n v="5630252"/>
  </r>
  <r>
    <x v="13"/>
    <x v="2"/>
    <n v="10"/>
    <n v="8422220"/>
    <n v="8422220"/>
  </r>
  <r>
    <x v="13"/>
    <x v="2"/>
    <n v="20"/>
    <n v="104368"/>
    <n v="104368"/>
  </r>
  <r>
    <x v="13"/>
    <x v="2"/>
    <n v="50"/>
    <n v="0"/>
    <n v="0"/>
  </r>
  <r>
    <x v="13"/>
    <x v="2"/>
    <n v="70"/>
    <n v="0"/>
    <n v="0"/>
  </r>
  <r>
    <x v="13"/>
    <x v="2"/>
    <n v="110"/>
    <n v="8258020"/>
    <n v="-8258020"/>
  </r>
  <r>
    <x v="13"/>
    <x v="2"/>
    <n v="140"/>
    <n v="4313240"/>
    <n v="-4313240"/>
  </r>
  <r>
    <x v="13"/>
    <x v="2"/>
    <n v="200"/>
    <n v="42111"/>
    <n v="-42111"/>
  </r>
  <r>
    <x v="13"/>
    <x v="2"/>
    <n v="210"/>
    <n v="34893"/>
    <n v="-34893"/>
  </r>
  <r>
    <x v="13"/>
    <x v="2"/>
    <n v="220"/>
    <n v="0"/>
    <n v="0"/>
  </r>
  <r>
    <x v="13"/>
    <x v="2"/>
    <n v="230"/>
    <n v="42271"/>
    <n v="-42271"/>
  </r>
  <r>
    <x v="13"/>
    <x v="2"/>
    <n v="270"/>
    <n v="0"/>
    <n v="0"/>
  </r>
  <r>
    <x v="13"/>
    <x v="2"/>
    <n v="298"/>
    <n v="0"/>
    <n v="0"/>
  </r>
  <r>
    <x v="13"/>
    <x v="3"/>
    <n v="1"/>
    <n v="4284375"/>
    <n v="4284375"/>
  </r>
  <r>
    <x v="13"/>
    <x v="3"/>
    <n v="10"/>
    <n v="17879420"/>
    <n v="17879420"/>
  </r>
  <r>
    <x v="13"/>
    <x v="3"/>
    <n v="20"/>
    <n v="394385"/>
    <n v="394385"/>
  </r>
  <r>
    <x v="13"/>
    <x v="3"/>
    <n v="50"/>
    <n v="0"/>
    <n v="0"/>
  </r>
  <r>
    <x v="13"/>
    <x v="3"/>
    <n v="110"/>
    <n v="9599040"/>
    <n v="-9599040"/>
  </r>
  <r>
    <x v="13"/>
    <x v="3"/>
    <n v="120"/>
    <n v="39740"/>
    <n v="-39740"/>
  </r>
  <r>
    <x v="13"/>
    <x v="3"/>
    <n v="130"/>
    <n v="0"/>
    <n v="0"/>
  </r>
  <r>
    <x v="13"/>
    <x v="3"/>
    <n v="140"/>
    <n v="104540"/>
    <n v="-104540"/>
  </r>
  <r>
    <x v="13"/>
    <x v="3"/>
    <n v="200"/>
    <n v="178794"/>
    <n v="-178794"/>
  </r>
  <r>
    <x v="13"/>
    <x v="3"/>
    <n v="210"/>
    <n v="1999"/>
    <n v="-1999"/>
  </r>
  <r>
    <x v="13"/>
    <x v="3"/>
    <n v="220"/>
    <n v="0"/>
    <n v="0"/>
  </r>
  <r>
    <x v="13"/>
    <x v="3"/>
    <n v="230"/>
    <n v="136469"/>
    <n v="-136469"/>
  </r>
  <r>
    <x v="13"/>
    <x v="3"/>
    <n v="298"/>
    <n v="0"/>
    <n v="0"/>
  </r>
  <r>
    <x v="13"/>
    <x v="4"/>
    <n v="1"/>
    <n v="0"/>
    <n v="0"/>
  </r>
  <r>
    <x v="13"/>
    <x v="4"/>
    <n v="10"/>
    <n v="0"/>
    <n v="0"/>
  </r>
  <r>
    <x v="13"/>
    <x v="4"/>
    <n v="20"/>
    <n v="0"/>
    <n v="0"/>
  </r>
  <r>
    <x v="13"/>
    <x v="4"/>
    <n v="70"/>
    <n v="0"/>
    <n v="0"/>
  </r>
  <r>
    <x v="13"/>
    <x v="4"/>
    <n v="110"/>
    <n v="0"/>
    <n v="0"/>
  </r>
  <r>
    <x v="13"/>
    <x v="4"/>
    <n v="140"/>
    <n v="0"/>
    <n v="0"/>
  </r>
  <r>
    <x v="13"/>
    <x v="4"/>
    <n v="200"/>
    <n v="0"/>
    <n v="0"/>
  </r>
  <r>
    <x v="13"/>
    <x v="4"/>
    <n v="210"/>
    <n v="0"/>
    <n v="0"/>
  </r>
  <r>
    <x v="13"/>
    <x v="4"/>
    <n v="230"/>
    <n v="0"/>
    <n v="0"/>
  </r>
  <r>
    <x v="14"/>
    <x v="0"/>
    <n v="1"/>
    <n v="0"/>
    <n v="0"/>
  </r>
  <r>
    <x v="14"/>
    <x v="0"/>
    <n v="10"/>
    <n v="0"/>
    <n v="0"/>
  </r>
  <r>
    <x v="14"/>
    <x v="0"/>
    <n v="15"/>
    <n v="0"/>
    <n v="0"/>
  </r>
  <r>
    <x v="14"/>
    <x v="0"/>
    <n v="20"/>
    <n v="0"/>
    <n v="0"/>
  </r>
  <r>
    <x v="14"/>
    <x v="0"/>
    <n v="50"/>
    <n v="0"/>
    <n v="0"/>
  </r>
  <r>
    <x v="14"/>
    <x v="0"/>
    <n v="70"/>
    <n v="0"/>
    <n v="0"/>
  </r>
  <r>
    <x v="14"/>
    <x v="0"/>
    <n v="110"/>
    <n v="0"/>
    <n v="0"/>
  </r>
  <r>
    <x v="14"/>
    <x v="0"/>
    <n v="130"/>
    <n v="0"/>
    <n v="0"/>
  </r>
  <r>
    <x v="14"/>
    <x v="0"/>
    <n v="140"/>
    <n v="0"/>
    <n v="0"/>
  </r>
  <r>
    <x v="14"/>
    <x v="0"/>
    <n v="200"/>
    <n v="0"/>
    <n v="0"/>
  </r>
  <r>
    <x v="14"/>
    <x v="0"/>
    <n v="210"/>
    <n v="0"/>
    <n v="0"/>
  </r>
  <r>
    <x v="14"/>
    <x v="0"/>
    <n v="220"/>
    <n v="0"/>
    <n v="0"/>
  </r>
  <r>
    <x v="14"/>
    <x v="0"/>
    <n v="230"/>
    <n v="0"/>
    <n v="0"/>
  </r>
  <r>
    <x v="14"/>
    <x v="0"/>
    <n v="298"/>
    <n v="0"/>
    <n v="0"/>
  </r>
  <r>
    <x v="14"/>
    <x v="1"/>
    <n v="1"/>
    <n v="0"/>
    <n v="0"/>
  </r>
  <r>
    <x v="14"/>
    <x v="1"/>
    <n v="10"/>
    <n v="0"/>
    <n v="0"/>
  </r>
  <r>
    <x v="14"/>
    <x v="1"/>
    <n v="20"/>
    <n v="0"/>
    <n v="0"/>
  </r>
  <r>
    <x v="14"/>
    <x v="1"/>
    <n v="50"/>
    <n v="0"/>
    <n v="0"/>
  </r>
  <r>
    <x v="14"/>
    <x v="1"/>
    <n v="70"/>
    <n v="0"/>
    <n v="0"/>
  </r>
  <r>
    <x v="14"/>
    <x v="1"/>
    <n v="110"/>
    <n v="0"/>
    <n v="0"/>
  </r>
  <r>
    <x v="14"/>
    <x v="1"/>
    <n v="120"/>
    <n v="0"/>
    <n v="0"/>
  </r>
  <r>
    <x v="14"/>
    <x v="1"/>
    <n v="130"/>
    <n v="0"/>
    <n v="0"/>
  </r>
  <r>
    <x v="14"/>
    <x v="1"/>
    <n v="140"/>
    <n v="0"/>
    <n v="0"/>
  </r>
  <r>
    <x v="14"/>
    <x v="1"/>
    <n v="160"/>
    <n v="0"/>
    <n v="0"/>
  </r>
  <r>
    <x v="14"/>
    <x v="1"/>
    <n v="200"/>
    <n v="0"/>
    <n v="0"/>
  </r>
  <r>
    <x v="14"/>
    <x v="1"/>
    <n v="210"/>
    <n v="0"/>
    <n v="0"/>
  </r>
  <r>
    <x v="14"/>
    <x v="1"/>
    <n v="220"/>
    <n v="0"/>
    <n v="0"/>
  </r>
  <r>
    <x v="14"/>
    <x v="1"/>
    <n v="230"/>
    <n v="0"/>
    <n v="0"/>
  </r>
  <r>
    <x v="14"/>
    <x v="1"/>
    <n v="260"/>
    <n v="0"/>
    <n v="0"/>
  </r>
  <r>
    <x v="14"/>
    <x v="1"/>
    <n v="298"/>
    <n v="0"/>
    <n v="0"/>
  </r>
  <r>
    <x v="14"/>
    <x v="2"/>
    <n v="1"/>
    <n v="0"/>
    <n v="0"/>
  </r>
  <r>
    <x v="14"/>
    <x v="2"/>
    <n v="10"/>
    <n v="0"/>
    <n v="0"/>
  </r>
  <r>
    <x v="14"/>
    <x v="2"/>
    <n v="20"/>
    <n v="0"/>
    <n v="0"/>
  </r>
  <r>
    <x v="14"/>
    <x v="2"/>
    <n v="40"/>
    <n v="0"/>
    <n v="0"/>
  </r>
  <r>
    <x v="14"/>
    <x v="2"/>
    <n v="50"/>
    <n v="0"/>
    <n v="0"/>
  </r>
  <r>
    <x v="14"/>
    <x v="2"/>
    <n v="70"/>
    <n v="0"/>
    <n v="0"/>
  </r>
  <r>
    <x v="14"/>
    <x v="2"/>
    <n v="110"/>
    <n v="0"/>
    <n v="0"/>
  </r>
  <r>
    <x v="14"/>
    <x v="2"/>
    <n v="120"/>
    <n v="0"/>
    <n v="0"/>
  </r>
  <r>
    <x v="14"/>
    <x v="2"/>
    <n v="130"/>
    <n v="0"/>
    <n v="0"/>
  </r>
  <r>
    <x v="14"/>
    <x v="2"/>
    <n v="140"/>
    <n v="0"/>
    <n v="0"/>
  </r>
  <r>
    <x v="14"/>
    <x v="2"/>
    <n v="200"/>
    <n v="0"/>
    <n v="0"/>
  </r>
  <r>
    <x v="14"/>
    <x v="2"/>
    <n v="210"/>
    <n v="0"/>
    <n v="0"/>
  </r>
  <r>
    <x v="14"/>
    <x v="2"/>
    <n v="220"/>
    <n v="0"/>
    <n v="0"/>
  </r>
  <r>
    <x v="14"/>
    <x v="2"/>
    <n v="230"/>
    <n v="0"/>
    <n v="0"/>
  </r>
  <r>
    <x v="14"/>
    <x v="2"/>
    <n v="298"/>
    <n v="0"/>
    <n v="0"/>
  </r>
  <r>
    <x v="14"/>
    <x v="3"/>
    <n v="1"/>
    <n v="0"/>
    <n v="0"/>
  </r>
  <r>
    <x v="14"/>
    <x v="3"/>
    <n v="10"/>
    <n v="0"/>
    <n v="0"/>
  </r>
  <r>
    <x v="14"/>
    <x v="3"/>
    <n v="20"/>
    <n v="0"/>
    <n v="0"/>
  </r>
  <r>
    <x v="14"/>
    <x v="3"/>
    <n v="50"/>
    <n v="0"/>
    <n v="0"/>
  </r>
  <r>
    <x v="14"/>
    <x v="3"/>
    <n v="70"/>
    <n v="0"/>
    <n v="0"/>
  </r>
  <r>
    <x v="14"/>
    <x v="3"/>
    <n v="110"/>
    <n v="0"/>
    <n v="0"/>
  </r>
  <r>
    <x v="14"/>
    <x v="3"/>
    <n v="120"/>
    <n v="0"/>
    <n v="0"/>
  </r>
  <r>
    <x v="14"/>
    <x v="3"/>
    <n v="130"/>
    <n v="0"/>
    <n v="0"/>
  </r>
  <r>
    <x v="14"/>
    <x v="3"/>
    <n v="140"/>
    <n v="0"/>
    <n v="0"/>
  </r>
  <r>
    <x v="14"/>
    <x v="3"/>
    <n v="200"/>
    <n v="0"/>
    <n v="0"/>
  </r>
  <r>
    <x v="14"/>
    <x v="3"/>
    <n v="210"/>
    <n v="0"/>
    <n v="0"/>
  </r>
  <r>
    <x v="14"/>
    <x v="3"/>
    <n v="220"/>
    <n v="0"/>
    <n v="0"/>
  </r>
  <r>
    <x v="14"/>
    <x v="3"/>
    <n v="230"/>
    <n v="0"/>
    <n v="0"/>
  </r>
  <r>
    <x v="14"/>
    <x v="3"/>
    <n v="260"/>
    <n v="0"/>
    <n v="0"/>
  </r>
  <r>
    <x v="14"/>
    <x v="3"/>
    <n v="298"/>
    <n v="0"/>
    <n v="0"/>
  </r>
  <r>
    <x v="15"/>
    <x v="0"/>
    <n v="1"/>
    <n v="12854440"/>
    <n v="12854440"/>
  </r>
  <r>
    <x v="15"/>
    <x v="0"/>
    <n v="10"/>
    <n v="538780"/>
    <n v="538780"/>
  </r>
  <r>
    <x v="15"/>
    <x v="0"/>
    <n v="20"/>
    <n v="0"/>
    <n v="0"/>
  </r>
  <r>
    <x v="15"/>
    <x v="0"/>
    <n v="50"/>
    <n v="3183700"/>
    <n v="3183700"/>
  </r>
  <r>
    <x v="15"/>
    <x v="0"/>
    <n v="60"/>
    <n v="0"/>
    <n v="0"/>
  </r>
  <r>
    <x v="15"/>
    <x v="0"/>
    <n v="70"/>
    <n v="0"/>
    <n v="0"/>
  </r>
  <r>
    <x v="15"/>
    <x v="0"/>
    <n v="110"/>
    <n v="3592160"/>
    <n v="-3592160"/>
  </r>
  <r>
    <x v="15"/>
    <x v="0"/>
    <n v="130"/>
    <n v="0"/>
    <n v="0"/>
  </r>
  <r>
    <x v="15"/>
    <x v="0"/>
    <n v="140"/>
    <n v="367500"/>
    <n v="-367500"/>
  </r>
  <r>
    <x v="15"/>
    <x v="0"/>
    <n v="141"/>
    <n v="167440"/>
    <n v="-167440"/>
  </r>
  <r>
    <x v="15"/>
    <x v="0"/>
    <n v="200"/>
    <n v="2694"/>
    <n v="-2694"/>
  </r>
  <r>
    <x v="15"/>
    <x v="0"/>
    <n v="210"/>
    <n v="5934"/>
    <n v="-5934"/>
  </r>
  <r>
    <x v="15"/>
    <x v="0"/>
    <n v="220"/>
    <n v="0"/>
    <n v="0"/>
  </r>
  <r>
    <x v="15"/>
    <x v="0"/>
    <n v="230"/>
    <n v="0"/>
    <n v="0"/>
  </r>
  <r>
    <x v="15"/>
    <x v="0"/>
    <n v="298"/>
    <n v="0"/>
    <n v="0"/>
  </r>
  <r>
    <x v="15"/>
    <x v="1"/>
    <n v="50"/>
    <n v="0"/>
    <n v="0"/>
  </r>
  <r>
    <x v="15"/>
    <x v="1"/>
    <n v="110"/>
    <n v="0"/>
    <n v="0"/>
  </r>
  <r>
    <x v="15"/>
    <x v="1"/>
    <n v="220"/>
    <n v="0"/>
    <n v="0"/>
  </r>
  <r>
    <x v="15"/>
    <x v="1"/>
    <n v="230"/>
    <n v="0"/>
    <n v="0"/>
  </r>
  <r>
    <x v="15"/>
    <x v="1"/>
    <n v="298"/>
    <n v="0"/>
    <n v="0"/>
  </r>
  <r>
    <x v="15"/>
    <x v="2"/>
    <n v="1"/>
    <n v="0"/>
    <n v="0"/>
  </r>
  <r>
    <x v="15"/>
    <x v="2"/>
    <n v="10"/>
    <n v="0"/>
    <n v="0"/>
  </r>
  <r>
    <x v="15"/>
    <x v="2"/>
    <n v="20"/>
    <n v="0"/>
    <n v="0"/>
  </r>
  <r>
    <x v="15"/>
    <x v="2"/>
    <n v="50"/>
    <n v="0"/>
    <n v="0"/>
  </r>
  <r>
    <x v="15"/>
    <x v="2"/>
    <n v="110"/>
    <n v="0"/>
    <n v="0"/>
  </r>
  <r>
    <x v="15"/>
    <x v="2"/>
    <n v="140"/>
    <n v="0"/>
    <n v="0"/>
  </r>
  <r>
    <x v="15"/>
    <x v="2"/>
    <n v="200"/>
    <n v="0"/>
    <n v="0"/>
  </r>
  <r>
    <x v="15"/>
    <x v="2"/>
    <n v="220"/>
    <n v="0"/>
    <n v="0"/>
  </r>
  <r>
    <x v="15"/>
    <x v="3"/>
    <n v="1"/>
    <n v="0"/>
    <n v="0"/>
  </r>
  <r>
    <x v="15"/>
    <x v="3"/>
    <n v="10"/>
    <n v="0"/>
    <n v="0"/>
  </r>
  <r>
    <x v="15"/>
    <x v="3"/>
    <n v="50"/>
    <n v="0"/>
    <n v="0"/>
  </r>
  <r>
    <x v="15"/>
    <x v="3"/>
    <n v="70"/>
    <n v="0"/>
    <n v="0"/>
  </r>
  <r>
    <x v="15"/>
    <x v="3"/>
    <n v="110"/>
    <n v="0"/>
    <n v="0"/>
  </r>
  <r>
    <x v="15"/>
    <x v="3"/>
    <n v="130"/>
    <n v="0"/>
    <n v="0"/>
  </r>
  <r>
    <x v="15"/>
    <x v="3"/>
    <n v="140"/>
    <n v="0"/>
    <n v="0"/>
  </r>
  <r>
    <x v="15"/>
    <x v="3"/>
    <n v="200"/>
    <n v="0"/>
    <n v="0"/>
  </r>
  <r>
    <x v="15"/>
    <x v="3"/>
    <n v="220"/>
    <n v="0"/>
    <n v="0"/>
  </r>
  <r>
    <x v="15"/>
    <x v="3"/>
    <n v="230"/>
    <n v="0"/>
    <n v="0"/>
  </r>
  <r>
    <x v="16"/>
    <x v="0"/>
    <n v="1"/>
    <n v="6641448"/>
    <n v="6641448"/>
  </r>
  <r>
    <x v="16"/>
    <x v="0"/>
    <n v="10"/>
    <n v="8980370"/>
    <n v="8980370"/>
  </r>
  <r>
    <x v="16"/>
    <x v="0"/>
    <n v="20"/>
    <n v="0"/>
    <n v="0"/>
  </r>
  <r>
    <x v="16"/>
    <x v="0"/>
    <n v="50"/>
    <n v="51740"/>
    <n v="51740"/>
  </r>
  <r>
    <x v="16"/>
    <x v="0"/>
    <n v="70"/>
    <n v="0"/>
    <n v="0"/>
  </r>
  <r>
    <x v="16"/>
    <x v="0"/>
    <n v="100"/>
    <n v="0"/>
    <n v="0"/>
  </r>
  <r>
    <x v="16"/>
    <x v="0"/>
    <n v="110"/>
    <n v="8079780"/>
    <n v="-8079780"/>
  </r>
  <r>
    <x v="16"/>
    <x v="0"/>
    <n v="120"/>
    <n v="0"/>
    <n v="0"/>
  </r>
  <r>
    <x v="16"/>
    <x v="0"/>
    <n v="130"/>
    <n v="0"/>
    <n v="0"/>
  </r>
  <r>
    <x v="16"/>
    <x v="0"/>
    <n v="140"/>
    <n v="0"/>
    <n v="0"/>
  </r>
  <r>
    <x v="16"/>
    <x v="0"/>
    <n v="200"/>
    <n v="46031"/>
    <n v="-46031"/>
  </r>
  <r>
    <x v="16"/>
    <x v="0"/>
    <n v="210"/>
    <n v="41992"/>
    <n v="-41992"/>
  </r>
  <r>
    <x v="16"/>
    <x v="0"/>
    <n v="220"/>
    <n v="0"/>
    <n v="0"/>
  </r>
  <r>
    <x v="16"/>
    <x v="0"/>
    <n v="230"/>
    <n v="0"/>
    <n v="0"/>
  </r>
  <r>
    <x v="16"/>
    <x v="0"/>
    <n v="298"/>
    <n v="0"/>
    <n v="0"/>
  </r>
  <r>
    <x v="16"/>
    <x v="3"/>
    <n v="110"/>
    <n v="0"/>
    <n v="0"/>
  </r>
  <r>
    <x v="16"/>
    <x v="4"/>
    <n v="1"/>
    <n v="0"/>
    <n v="0"/>
  </r>
  <r>
    <x v="17"/>
    <x v="0"/>
    <n v="1"/>
    <n v="5725277"/>
    <n v="5725277"/>
  </r>
  <r>
    <x v="17"/>
    <x v="0"/>
    <n v="10"/>
    <n v="0"/>
    <n v="0"/>
  </r>
  <r>
    <x v="17"/>
    <x v="0"/>
    <n v="15"/>
    <n v="0"/>
    <n v="0"/>
  </r>
  <r>
    <x v="17"/>
    <x v="0"/>
    <n v="20"/>
    <n v="0"/>
    <n v="0"/>
  </r>
  <r>
    <x v="17"/>
    <x v="0"/>
    <n v="50"/>
    <n v="0"/>
    <n v="0"/>
  </r>
  <r>
    <x v="17"/>
    <x v="0"/>
    <n v="70"/>
    <n v="0"/>
    <n v="0"/>
  </r>
  <r>
    <x v="17"/>
    <x v="0"/>
    <n v="110"/>
    <n v="0"/>
    <n v="0"/>
  </r>
  <r>
    <x v="17"/>
    <x v="0"/>
    <n v="120"/>
    <n v="0"/>
    <n v="0"/>
  </r>
  <r>
    <x v="17"/>
    <x v="0"/>
    <n v="130"/>
    <n v="0"/>
    <n v="0"/>
  </r>
  <r>
    <x v="17"/>
    <x v="0"/>
    <n v="140"/>
    <n v="99480"/>
    <n v="-99480"/>
  </r>
  <r>
    <x v="17"/>
    <x v="0"/>
    <n v="141"/>
    <n v="101340"/>
    <n v="-101340"/>
  </r>
  <r>
    <x v="17"/>
    <x v="0"/>
    <n v="200"/>
    <n v="0"/>
    <n v="0"/>
  </r>
  <r>
    <x v="17"/>
    <x v="0"/>
    <n v="210"/>
    <n v="0"/>
    <n v="0"/>
  </r>
  <r>
    <x v="17"/>
    <x v="0"/>
    <n v="230"/>
    <n v="0"/>
    <n v="0"/>
  </r>
  <r>
    <x v="17"/>
    <x v="0"/>
    <n v="240"/>
    <n v="0"/>
    <n v="0"/>
  </r>
  <r>
    <x v="17"/>
    <x v="0"/>
    <n v="298"/>
    <n v="0"/>
    <n v="0"/>
  </r>
  <r>
    <x v="17"/>
    <x v="1"/>
    <n v="1"/>
    <n v="0"/>
    <n v="0"/>
  </r>
  <r>
    <x v="17"/>
    <x v="1"/>
    <n v="10"/>
    <n v="0"/>
    <n v="0"/>
  </r>
  <r>
    <x v="17"/>
    <x v="1"/>
    <n v="15"/>
    <n v="0"/>
    <n v="0"/>
  </r>
  <r>
    <x v="17"/>
    <x v="1"/>
    <n v="20"/>
    <n v="0"/>
    <n v="0"/>
  </r>
  <r>
    <x v="17"/>
    <x v="1"/>
    <n v="70"/>
    <n v="0"/>
    <n v="0"/>
  </r>
  <r>
    <x v="17"/>
    <x v="1"/>
    <n v="110"/>
    <n v="0"/>
    <n v="0"/>
  </r>
  <r>
    <x v="17"/>
    <x v="1"/>
    <n v="120"/>
    <n v="0"/>
    <n v="0"/>
  </r>
  <r>
    <x v="17"/>
    <x v="1"/>
    <n v="130"/>
    <n v="0"/>
    <n v="0"/>
  </r>
  <r>
    <x v="17"/>
    <x v="1"/>
    <n v="140"/>
    <n v="0"/>
    <n v="0"/>
  </r>
  <r>
    <x v="17"/>
    <x v="1"/>
    <n v="200"/>
    <n v="0"/>
    <n v="0"/>
  </r>
  <r>
    <x v="17"/>
    <x v="1"/>
    <n v="210"/>
    <n v="0"/>
    <n v="0"/>
  </r>
  <r>
    <x v="17"/>
    <x v="1"/>
    <n v="220"/>
    <n v="0"/>
    <n v="0"/>
  </r>
  <r>
    <x v="17"/>
    <x v="1"/>
    <n v="230"/>
    <n v="0"/>
    <n v="0"/>
  </r>
  <r>
    <x v="17"/>
    <x v="1"/>
    <n v="298"/>
    <n v="0"/>
    <n v="0"/>
  </r>
  <r>
    <x v="17"/>
    <x v="2"/>
    <n v="1"/>
    <n v="0"/>
    <n v="0"/>
  </r>
  <r>
    <x v="17"/>
    <x v="2"/>
    <n v="10"/>
    <n v="0"/>
    <n v="0"/>
  </r>
  <r>
    <x v="17"/>
    <x v="2"/>
    <n v="20"/>
    <n v="0"/>
    <n v="0"/>
  </r>
  <r>
    <x v="17"/>
    <x v="2"/>
    <n v="50"/>
    <n v="0"/>
    <n v="0"/>
  </r>
  <r>
    <x v="17"/>
    <x v="2"/>
    <n v="70"/>
    <n v="0"/>
    <n v="0"/>
  </r>
  <r>
    <x v="17"/>
    <x v="2"/>
    <n v="110"/>
    <n v="0"/>
    <n v="0"/>
  </r>
  <r>
    <x v="17"/>
    <x v="2"/>
    <n v="120"/>
    <n v="0"/>
    <n v="0"/>
  </r>
  <r>
    <x v="17"/>
    <x v="2"/>
    <n v="130"/>
    <n v="0"/>
    <n v="0"/>
  </r>
  <r>
    <x v="17"/>
    <x v="2"/>
    <n v="140"/>
    <n v="0"/>
    <n v="0"/>
  </r>
  <r>
    <x v="17"/>
    <x v="2"/>
    <n v="200"/>
    <n v="0"/>
    <n v="0"/>
  </r>
  <r>
    <x v="17"/>
    <x v="2"/>
    <n v="210"/>
    <n v="0"/>
    <n v="0"/>
  </r>
  <r>
    <x v="17"/>
    <x v="2"/>
    <n v="220"/>
    <n v="0"/>
    <n v="0"/>
  </r>
  <r>
    <x v="17"/>
    <x v="2"/>
    <n v="230"/>
    <n v="0"/>
    <n v="0"/>
  </r>
  <r>
    <x v="17"/>
    <x v="2"/>
    <n v="270"/>
    <n v="0"/>
    <n v="0"/>
  </r>
  <r>
    <x v="17"/>
    <x v="2"/>
    <n v="298"/>
    <n v="0"/>
    <n v="0"/>
  </r>
  <r>
    <x v="17"/>
    <x v="3"/>
    <n v="1"/>
    <n v="0"/>
    <n v="0"/>
  </r>
  <r>
    <x v="17"/>
    <x v="3"/>
    <n v="10"/>
    <n v="0"/>
    <n v="0"/>
  </r>
  <r>
    <x v="17"/>
    <x v="3"/>
    <n v="20"/>
    <n v="0"/>
    <n v="0"/>
  </r>
  <r>
    <x v="17"/>
    <x v="3"/>
    <n v="110"/>
    <n v="0"/>
    <n v="0"/>
  </r>
  <r>
    <x v="17"/>
    <x v="3"/>
    <n v="120"/>
    <n v="0"/>
    <n v="0"/>
  </r>
  <r>
    <x v="17"/>
    <x v="3"/>
    <n v="130"/>
    <n v="0"/>
    <n v="0"/>
  </r>
  <r>
    <x v="17"/>
    <x v="3"/>
    <n v="140"/>
    <n v="0"/>
    <n v="0"/>
  </r>
  <r>
    <x v="17"/>
    <x v="3"/>
    <n v="200"/>
    <n v="0"/>
    <n v="0"/>
  </r>
  <r>
    <x v="17"/>
    <x v="3"/>
    <n v="210"/>
    <n v="0"/>
    <n v="0"/>
  </r>
  <r>
    <x v="17"/>
    <x v="3"/>
    <n v="220"/>
    <n v="0"/>
    <n v="0"/>
  </r>
  <r>
    <x v="17"/>
    <x v="3"/>
    <n v="230"/>
    <n v="0"/>
    <n v="0"/>
  </r>
  <r>
    <x v="17"/>
    <x v="3"/>
    <n v="298"/>
    <n v="0"/>
    <n v="0"/>
  </r>
  <r>
    <x v="17"/>
    <x v="4"/>
    <n v="10"/>
    <n v="0"/>
    <n v="0"/>
  </r>
  <r>
    <x v="18"/>
    <x v="0"/>
    <n v="1"/>
    <n v="21494105"/>
    <n v="21494105"/>
  </r>
  <r>
    <x v="18"/>
    <x v="0"/>
    <n v="10"/>
    <n v="0"/>
    <n v="0"/>
  </r>
  <r>
    <x v="18"/>
    <x v="0"/>
    <n v="20"/>
    <n v="0"/>
    <n v="0"/>
  </r>
  <r>
    <x v="18"/>
    <x v="0"/>
    <n v="40"/>
    <n v="0"/>
    <n v="0"/>
  </r>
  <r>
    <x v="18"/>
    <x v="0"/>
    <n v="50"/>
    <n v="1825740"/>
    <n v="1825740"/>
  </r>
  <r>
    <x v="18"/>
    <x v="0"/>
    <n v="60"/>
    <n v="0"/>
    <n v="0"/>
  </r>
  <r>
    <x v="18"/>
    <x v="0"/>
    <n v="70"/>
    <n v="0"/>
    <n v="0"/>
  </r>
  <r>
    <x v="18"/>
    <x v="0"/>
    <n v="110"/>
    <n v="1937300"/>
    <n v="-1937300"/>
  </r>
  <r>
    <x v="18"/>
    <x v="0"/>
    <n v="120"/>
    <n v="0"/>
    <n v="0"/>
  </r>
  <r>
    <x v="18"/>
    <x v="0"/>
    <n v="130"/>
    <n v="0"/>
    <n v="0"/>
  </r>
  <r>
    <x v="18"/>
    <x v="0"/>
    <n v="140"/>
    <n v="0"/>
    <n v="0"/>
  </r>
  <r>
    <x v="18"/>
    <x v="0"/>
    <n v="200"/>
    <n v="0"/>
    <n v="0"/>
  </r>
  <r>
    <x v="18"/>
    <x v="0"/>
    <n v="210"/>
    <n v="23549"/>
    <n v="-23549"/>
  </r>
  <r>
    <x v="18"/>
    <x v="0"/>
    <n v="220"/>
    <n v="0"/>
    <n v="0"/>
  </r>
  <r>
    <x v="18"/>
    <x v="0"/>
    <n v="230"/>
    <n v="0"/>
    <n v="0"/>
  </r>
  <r>
    <x v="18"/>
    <x v="0"/>
    <n v="298"/>
    <n v="0"/>
    <n v="0"/>
  </r>
  <r>
    <x v="18"/>
    <x v="1"/>
    <n v="1"/>
    <n v="0"/>
    <n v="0"/>
  </r>
  <r>
    <x v="18"/>
    <x v="1"/>
    <n v="10"/>
    <n v="0"/>
    <n v="0"/>
  </r>
  <r>
    <x v="18"/>
    <x v="1"/>
    <n v="20"/>
    <n v="0"/>
    <n v="0"/>
  </r>
  <r>
    <x v="18"/>
    <x v="1"/>
    <n v="50"/>
    <n v="0"/>
    <n v="0"/>
  </r>
  <r>
    <x v="18"/>
    <x v="1"/>
    <n v="70"/>
    <n v="0"/>
    <n v="0"/>
  </r>
  <r>
    <x v="18"/>
    <x v="1"/>
    <n v="100"/>
    <n v="0"/>
    <n v="0"/>
  </r>
  <r>
    <x v="18"/>
    <x v="1"/>
    <n v="110"/>
    <n v="0"/>
    <n v="0"/>
  </r>
  <r>
    <x v="18"/>
    <x v="1"/>
    <n v="120"/>
    <n v="0"/>
    <n v="0"/>
  </r>
  <r>
    <x v="18"/>
    <x v="1"/>
    <n v="130"/>
    <n v="0"/>
    <n v="0"/>
  </r>
  <r>
    <x v="18"/>
    <x v="1"/>
    <n v="140"/>
    <n v="0"/>
    <n v="0"/>
  </r>
  <r>
    <x v="18"/>
    <x v="1"/>
    <n v="160"/>
    <n v="0"/>
    <n v="0"/>
  </r>
  <r>
    <x v="18"/>
    <x v="1"/>
    <n v="200"/>
    <n v="0"/>
    <n v="0"/>
  </r>
  <r>
    <x v="18"/>
    <x v="1"/>
    <n v="210"/>
    <n v="0"/>
    <n v="0"/>
  </r>
  <r>
    <x v="18"/>
    <x v="1"/>
    <n v="220"/>
    <n v="0"/>
    <n v="0"/>
  </r>
  <r>
    <x v="18"/>
    <x v="1"/>
    <n v="230"/>
    <n v="0"/>
    <n v="0"/>
  </r>
  <r>
    <x v="18"/>
    <x v="1"/>
    <n v="260"/>
    <n v="0"/>
    <n v="0"/>
  </r>
  <r>
    <x v="18"/>
    <x v="1"/>
    <n v="298"/>
    <n v="0"/>
    <n v="0"/>
  </r>
  <r>
    <x v="18"/>
    <x v="2"/>
    <n v="1"/>
    <n v="0"/>
    <n v="0"/>
  </r>
  <r>
    <x v="18"/>
    <x v="2"/>
    <n v="10"/>
    <n v="0"/>
    <n v="0"/>
  </r>
  <r>
    <x v="18"/>
    <x v="2"/>
    <n v="20"/>
    <n v="0"/>
    <n v="0"/>
  </r>
  <r>
    <x v="18"/>
    <x v="2"/>
    <n v="50"/>
    <n v="0"/>
    <n v="0"/>
  </r>
  <r>
    <x v="18"/>
    <x v="2"/>
    <n v="70"/>
    <n v="0"/>
    <n v="0"/>
  </r>
  <r>
    <x v="18"/>
    <x v="2"/>
    <n v="110"/>
    <n v="0"/>
    <n v="0"/>
  </r>
  <r>
    <x v="18"/>
    <x v="2"/>
    <n v="120"/>
    <n v="0"/>
    <n v="0"/>
  </r>
  <r>
    <x v="18"/>
    <x v="2"/>
    <n v="140"/>
    <n v="0"/>
    <n v="0"/>
  </r>
  <r>
    <x v="18"/>
    <x v="2"/>
    <n v="200"/>
    <n v="0"/>
    <n v="0"/>
  </r>
  <r>
    <x v="18"/>
    <x v="2"/>
    <n v="210"/>
    <n v="0"/>
    <n v="0"/>
  </r>
  <r>
    <x v="18"/>
    <x v="2"/>
    <n v="220"/>
    <n v="0"/>
    <n v="0"/>
  </r>
  <r>
    <x v="18"/>
    <x v="2"/>
    <n v="230"/>
    <n v="0"/>
    <n v="0"/>
  </r>
  <r>
    <x v="18"/>
    <x v="2"/>
    <n v="270"/>
    <n v="0"/>
    <n v="0"/>
  </r>
  <r>
    <x v="18"/>
    <x v="2"/>
    <n v="298"/>
    <n v="0"/>
    <n v="0"/>
  </r>
  <r>
    <x v="18"/>
    <x v="3"/>
    <n v="1"/>
    <n v="0"/>
    <n v="0"/>
  </r>
  <r>
    <x v="18"/>
    <x v="3"/>
    <n v="10"/>
    <n v="0"/>
    <n v="0"/>
  </r>
  <r>
    <x v="18"/>
    <x v="3"/>
    <n v="20"/>
    <n v="0"/>
    <n v="0"/>
  </r>
  <r>
    <x v="18"/>
    <x v="3"/>
    <n v="50"/>
    <n v="0"/>
    <n v="0"/>
  </r>
  <r>
    <x v="18"/>
    <x v="3"/>
    <n v="70"/>
    <n v="0"/>
    <n v="0"/>
  </r>
  <r>
    <x v="18"/>
    <x v="3"/>
    <n v="110"/>
    <n v="0"/>
    <n v="0"/>
  </r>
  <r>
    <x v="18"/>
    <x v="3"/>
    <n v="120"/>
    <n v="0"/>
    <n v="0"/>
  </r>
  <r>
    <x v="18"/>
    <x v="3"/>
    <n v="130"/>
    <n v="0"/>
    <n v="0"/>
  </r>
  <r>
    <x v="18"/>
    <x v="3"/>
    <n v="140"/>
    <n v="0"/>
    <n v="0"/>
  </r>
  <r>
    <x v="18"/>
    <x v="3"/>
    <n v="160"/>
    <n v="0"/>
    <n v="0"/>
  </r>
  <r>
    <x v="18"/>
    <x v="3"/>
    <n v="200"/>
    <n v="0"/>
    <n v="0"/>
  </r>
  <r>
    <x v="18"/>
    <x v="3"/>
    <n v="210"/>
    <n v="0"/>
    <n v="0"/>
  </r>
  <r>
    <x v="18"/>
    <x v="3"/>
    <n v="220"/>
    <n v="0"/>
    <n v="0"/>
  </r>
  <r>
    <x v="18"/>
    <x v="3"/>
    <n v="230"/>
    <n v="0"/>
    <n v="0"/>
  </r>
  <r>
    <x v="18"/>
    <x v="3"/>
    <n v="260"/>
    <n v="0"/>
    <n v="0"/>
  </r>
  <r>
    <x v="18"/>
    <x v="3"/>
    <n v="298"/>
    <n v="0"/>
    <n v="0"/>
  </r>
  <r>
    <x v="18"/>
    <x v="4"/>
    <n v="1"/>
    <n v="0"/>
    <n v="0"/>
  </r>
  <r>
    <x v="18"/>
    <x v="4"/>
    <n v="10"/>
    <n v="0"/>
    <n v="0"/>
  </r>
  <r>
    <x v="18"/>
    <x v="4"/>
    <n v="50"/>
    <n v="0"/>
    <n v="0"/>
  </r>
  <r>
    <x v="18"/>
    <x v="4"/>
    <n v="70"/>
    <n v="0"/>
    <n v="0"/>
  </r>
  <r>
    <x v="18"/>
    <x v="4"/>
    <n v="110"/>
    <n v="0"/>
    <n v="0"/>
  </r>
  <r>
    <x v="18"/>
    <x v="4"/>
    <n v="140"/>
    <n v="0"/>
    <n v="0"/>
  </r>
  <r>
    <x v="18"/>
    <x v="4"/>
    <n v="200"/>
    <n v="0"/>
    <n v="0"/>
  </r>
  <r>
    <x v="18"/>
    <x v="4"/>
    <n v="210"/>
    <n v="0"/>
    <n v="0"/>
  </r>
  <r>
    <x v="18"/>
    <x v="4"/>
    <n v="230"/>
    <n v="0"/>
    <n v="0"/>
  </r>
  <r>
    <x v="18"/>
    <x v="4"/>
    <n v="260"/>
    <n v="0"/>
    <n v="0"/>
  </r>
  <r>
    <x v="19"/>
    <x v="0"/>
    <n v="1"/>
    <n v="28280021"/>
    <n v="28280021"/>
  </r>
  <r>
    <x v="19"/>
    <x v="0"/>
    <n v="10"/>
    <n v="3240280"/>
    <n v="3240280"/>
  </r>
  <r>
    <x v="19"/>
    <x v="0"/>
    <n v="50"/>
    <n v="0"/>
    <n v="0"/>
  </r>
  <r>
    <x v="19"/>
    <x v="0"/>
    <n v="70"/>
    <n v="0"/>
    <n v="0"/>
  </r>
  <r>
    <x v="19"/>
    <x v="0"/>
    <n v="110"/>
    <n v="1934320"/>
    <n v="-1934320"/>
  </r>
  <r>
    <x v="19"/>
    <x v="0"/>
    <n v="120"/>
    <n v="0"/>
    <n v="0"/>
  </r>
  <r>
    <x v="19"/>
    <x v="0"/>
    <n v="130"/>
    <n v="0"/>
    <n v="0"/>
  </r>
  <r>
    <x v="19"/>
    <x v="0"/>
    <n v="140"/>
    <n v="0"/>
    <n v="0"/>
  </r>
  <r>
    <x v="19"/>
    <x v="0"/>
    <n v="200"/>
    <n v="16201"/>
    <n v="-16201"/>
  </r>
  <r>
    <x v="19"/>
    <x v="0"/>
    <n v="210"/>
    <n v="23749"/>
    <n v="-23749"/>
  </r>
  <r>
    <x v="19"/>
    <x v="0"/>
    <n v="230"/>
    <n v="0"/>
    <n v="0"/>
  </r>
  <r>
    <x v="19"/>
    <x v="0"/>
    <n v="298"/>
    <n v="0"/>
    <n v="0"/>
  </r>
  <r>
    <x v="19"/>
    <x v="1"/>
    <n v="1"/>
    <n v="0"/>
    <n v="0"/>
  </r>
  <r>
    <x v="19"/>
    <x v="1"/>
    <n v="10"/>
    <n v="0"/>
    <n v="0"/>
  </r>
  <r>
    <x v="19"/>
    <x v="1"/>
    <n v="20"/>
    <n v="0"/>
    <n v="0"/>
  </r>
  <r>
    <x v="19"/>
    <x v="1"/>
    <n v="50"/>
    <n v="0"/>
    <n v="0"/>
  </r>
  <r>
    <x v="19"/>
    <x v="1"/>
    <n v="70"/>
    <n v="0"/>
    <n v="0"/>
  </r>
  <r>
    <x v="19"/>
    <x v="1"/>
    <n v="110"/>
    <n v="0"/>
    <n v="0"/>
  </r>
  <r>
    <x v="19"/>
    <x v="1"/>
    <n v="120"/>
    <n v="0"/>
    <n v="0"/>
  </r>
  <r>
    <x v="19"/>
    <x v="1"/>
    <n v="130"/>
    <n v="0"/>
    <n v="0"/>
  </r>
  <r>
    <x v="19"/>
    <x v="1"/>
    <n v="140"/>
    <n v="0"/>
    <n v="0"/>
  </r>
  <r>
    <x v="19"/>
    <x v="1"/>
    <n v="160"/>
    <n v="0"/>
    <n v="0"/>
  </r>
  <r>
    <x v="19"/>
    <x v="1"/>
    <n v="200"/>
    <n v="0"/>
    <n v="0"/>
  </r>
  <r>
    <x v="19"/>
    <x v="1"/>
    <n v="220"/>
    <n v="0"/>
    <n v="0"/>
  </r>
  <r>
    <x v="19"/>
    <x v="1"/>
    <n v="230"/>
    <n v="0"/>
    <n v="0"/>
  </r>
  <r>
    <x v="19"/>
    <x v="1"/>
    <n v="260"/>
    <n v="0"/>
    <n v="0"/>
  </r>
  <r>
    <x v="19"/>
    <x v="1"/>
    <n v="298"/>
    <n v="0"/>
    <n v="0"/>
  </r>
  <r>
    <x v="19"/>
    <x v="2"/>
    <n v="1"/>
    <n v="0"/>
    <n v="0"/>
  </r>
  <r>
    <x v="19"/>
    <x v="2"/>
    <n v="10"/>
    <n v="0"/>
    <n v="0"/>
  </r>
  <r>
    <x v="19"/>
    <x v="2"/>
    <n v="20"/>
    <n v="0"/>
    <n v="0"/>
  </r>
  <r>
    <x v="19"/>
    <x v="2"/>
    <n v="50"/>
    <n v="0"/>
    <n v="0"/>
  </r>
  <r>
    <x v="19"/>
    <x v="2"/>
    <n v="70"/>
    <n v="0"/>
    <n v="0"/>
  </r>
  <r>
    <x v="19"/>
    <x v="2"/>
    <n v="110"/>
    <n v="0"/>
    <n v="0"/>
  </r>
  <r>
    <x v="19"/>
    <x v="2"/>
    <n v="130"/>
    <n v="0"/>
    <n v="0"/>
  </r>
  <r>
    <x v="19"/>
    <x v="2"/>
    <n v="140"/>
    <n v="0"/>
    <n v="0"/>
  </r>
  <r>
    <x v="19"/>
    <x v="2"/>
    <n v="200"/>
    <n v="0"/>
    <n v="0"/>
  </r>
  <r>
    <x v="19"/>
    <x v="2"/>
    <n v="210"/>
    <n v="0"/>
    <n v="0"/>
  </r>
  <r>
    <x v="19"/>
    <x v="2"/>
    <n v="220"/>
    <n v="0"/>
    <n v="0"/>
  </r>
  <r>
    <x v="19"/>
    <x v="2"/>
    <n v="230"/>
    <n v="0"/>
    <n v="0"/>
  </r>
  <r>
    <x v="19"/>
    <x v="2"/>
    <n v="298"/>
    <n v="0"/>
    <n v="0"/>
  </r>
  <r>
    <x v="19"/>
    <x v="3"/>
    <n v="1"/>
    <n v="0"/>
    <n v="0"/>
  </r>
  <r>
    <x v="19"/>
    <x v="3"/>
    <n v="10"/>
    <n v="0"/>
    <n v="0"/>
  </r>
  <r>
    <x v="19"/>
    <x v="3"/>
    <n v="20"/>
    <n v="0"/>
    <n v="0"/>
  </r>
  <r>
    <x v="19"/>
    <x v="3"/>
    <n v="50"/>
    <n v="0"/>
    <n v="0"/>
  </r>
  <r>
    <x v="19"/>
    <x v="3"/>
    <n v="110"/>
    <n v="0"/>
    <n v="0"/>
  </r>
  <r>
    <x v="19"/>
    <x v="3"/>
    <n v="120"/>
    <n v="0"/>
    <n v="0"/>
  </r>
  <r>
    <x v="19"/>
    <x v="3"/>
    <n v="130"/>
    <n v="0"/>
    <n v="0"/>
  </r>
  <r>
    <x v="19"/>
    <x v="3"/>
    <n v="140"/>
    <n v="0"/>
    <n v="0"/>
  </r>
  <r>
    <x v="19"/>
    <x v="3"/>
    <n v="220"/>
    <n v="0"/>
    <n v="0"/>
  </r>
  <r>
    <x v="19"/>
    <x v="4"/>
    <n v="1"/>
    <n v="0"/>
    <n v="0"/>
  </r>
  <r>
    <x v="19"/>
    <x v="4"/>
    <n v="10"/>
    <n v="0"/>
    <n v="0"/>
  </r>
  <r>
    <x v="19"/>
    <x v="4"/>
    <n v="20"/>
    <n v="0"/>
    <n v="0"/>
  </r>
  <r>
    <x v="19"/>
    <x v="4"/>
    <n v="50"/>
    <n v="0"/>
    <n v="0"/>
  </r>
  <r>
    <x v="19"/>
    <x v="4"/>
    <n v="70"/>
    <n v="0"/>
    <n v="0"/>
  </r>
  <r>
    <x v="19"/>
    <x v="4"/>
    <n v="110"/>
    <n v="0"/>
    <n v="0"/>
  </r>
  <r>
    <x v="19"/>
    <x v="4"/>
    <n v="140"/>
    <n v="0"/>
    <n v="0"/>
  </r>
  <r>
    <x v="19"/>
    <x v="4"/>
    <n v="210"/>
    <n v="0"/>
    <n v="0"/>
  </r>
  <r>
    <x v="20"/>
    <x v="0"/>
    <n v="1"/>
    <n v="7110416"/>
    <n v="7110416"/>
  </r>
  <r>
    <x v="20"/>
    <x v="0"/>
    <n v="10"/>
    <n v="8760"/>
    <n v="8760"/>
  </r>
  <r>
    <x v="20"/>
    <x v="0"/>
    <n v="20"/>
    <n v="0"/>
    <n v="0"/>
  </r>
  <r>
    <x v="20"/>
    <x v="0"/>
    <n v="50"/>
    <n v="12459100"/>
    <n v="12459100"/>
  </r>
  <r>
    <x v="20"/>
    <x v="0"/>
    <n v="70"/>
    <n v="-64971"/>
    <n v="-64971"/>
  </r>
  <r>
    <x v="20"/>
    <x v="0"/>
    <n v="100"/>
    <n v="0"/>
    <n v="0"/>
  </r>
  <r>
    <x v="20"/>
    <x v="0"/>
    <n v="110"/>
    <n v="0"/>
    <n v="0"/>
  </r>
  <r>
    <x v="20"/>
    <x v="0"/>
    <n v="130"/>
    <n v="0"/>
    <n v="0"/>
  </r>
  <r>
    <x v="20"/>
    <x v="0"/>
    <n v="140"/>
    <n v="0"/>
    <n v="0"/>
  </r>
  <r>
    <x v="20"/>
    <x v="0"/>
    <n v="141"/>
    <n v="7394960"/>
    <n v="-7394960"/>
  </r>
  <r>
    <x v="20"/>
    <x v="0"/>
    <n v="200"/>
    <n v="0"/>
    <n v="0"/>
  </r>
  <r>
    <x v="20"/>
    <x v="0"/>
    <n v="210"/>
    <n v="98011"/>
    <n v="-98011"/>
  </r>
  <r>
    <x v="20"/>
    <x v="0"/>
    <n v="220"/>
    <n v="0"/>
    <n v="0"/>
  </r>
  <r>
    <x v="20"/>
    <x v="0"/>
    <n v="230"/>
    <n v="0"/>
    <n v="0"/>
  </r>
  <r>
    <x v="20"/>
    <x v="0"/>
    <n v="298"/>
    <n v="0"/>
    <n v="0"/>
  </r>
  <r>
    <x v="20"/>
    <x v="1"/>
    <n v="1"/>
    <n v="0"/>
    <n v="0"/>
  </r>
  <r>
    <x v="20"/>
    <x v="1"/>
    <n v="50"/>
    <n v="0"/>
    <n v="0"/>
  </r>
  <r>
    <x v="20"/>
    <x v="1"/>
    <n v="70"/>
    <n v="0"/>
    <n v="0"/>
  </r>
  <r>
    <x v="20"/>
    <x v="1"/>
    <n v="110"/>
    <n v="0"/>
    <n v="0"/>
  </r>
  <r>
    <x v="20"/>
    <x v="1"/>
    <n v="140"/>
    <n v="0"/>
    <n v="0"/>
  </r>
  <r>
    <x v="20"/>
    <x v="1"/>
    <n v="220"/>
    <n v="0"/>
    <n v="0"/>
  </r>
  <r>
    <x v="20"/>
    <x v="2"/>
    <n v="1"/>
    <n v="0"/>
    <n v="0"/>
  </r>
  <r>
    <x v="20"/>
    <x v="2"/>
    <n v="10"/>
    <n v="0"/>
    <n v="0"/>
  </r>
  <r>
    <x v="20"/>
    <x v="2"/>
    <n v="20"/>
    <n v="0"/>
    <n v="0"/>
  </r>
  <r>
    <x v="20"/>
    <x v="2"/>
    <n v="50"/>
    <n v="0"/>
    <n v="0"/>
  </r>
  <r>
    <x v="20"/>
    <x v="2"/>
    <n v="70"/>
    <n v="0"/>
    <n v="0"/>
  </r>
  <r>
    <x v="20"/>
    <x v="2"/>
    <n v="110"/>
    <n v="0"/>
    <n v="0"/>
  </r>
  <r>
    <x v="20"/>
    <x v="2"/>
    <n v="140"/>
    <n v="0"/>
    <n v="0"/>
  </r>
  <r>
    <x v="20"/>
    <x v="2"/>
    <n v="200"/>
    <n v="0"/>
    <n v="0"/>
  </r>
  <r>
    <x v="20"/>
    <x v="2"/>
    <n v="220"/>
    <n v="0"/>
    <n v="0"/>
  </r>
  <r>
    <x v="20"/>
    <x v="2"/>
    <n v="230"/>
    <n v="0"/>
    <n v="0"/>
  </r>
  <r>
    <x v="20"/>
    <x v="3"/>
    <n v="1"/>
    <n v="0"/>
    <n v="0"/>
  </r>
  <r>
    <x v="20"/>
    <x v="3"/>
    <n v="10"/>
    <n v="0"/>
    <n v="0"/>
  </r>
  <r>
    <x v="20"/>
    <x v="3"/>
    <n v="20"/>
    <n v="0"/>
    <n v="0"/>
  </r>
  <r>
    <x v="20"/>
    <x v="3"/>
    <n v="50"/>
    <n v="0"/>
    <n v="0"/>
  </r>
  <r>
    <x v="20"/>
    <x v="3"/>
    <n v="110"/>
    <n v="0"/>
    <n v="0"/>
  </r>
  <r>
    <x v="20"/>
    <x v="3"/>
    <n v="140"/>
    <n v="0"/>
    <n v="0"/>
  </r>
  <r>
    <x v="20"/>
    <x v="3"/>
    <n v="200"/>
    <n v="0"/>
    <n v="0"/>
  </r>
  <r>
    <x v="20"/>
    <x v="3"/>
    <n v="220"/>
    <n v="0"/>
    <n v="0"/>
  </r>
  <r>
    <x v="20"/>
    <x v="4"/>
    <n v="1"/>
    <n v="0"/>
    <n v="0"/>
  </r>
  <r>
    <x v="20"/>
    <x v="4"/>
    <n v="10"/>
    <n v="0"/>
    <n v="0"/>
  </r>
  <r>
    <x v="20"/>
    <x v="4"/>
    <n v="50"/>
    <n v="0"/>
    <n v="0"/>
  </r>
  <r>
    <x v="20"/>
    <x v="4"/>
    <n v="70"/>
    <n v="0"/>
    <n v="0"/>
  </r>
  <r>
    <x v="20"/>
    <x v="4"/>
    <n v="110"/>
    <n v="0"/>
    <n v="0"/>
  </r>
  <r>
    <x v="20"/>
    <x v="4"/>
    <n v="210"/>
    <n v="0"/>
    <n v="0"/>
  </r>
  <r>
    <x v="20"/>
    <x v="4"/>
    <n v="220"/>
    <n v="0"/>
    <n v="0"/>
  </r>
  <r>
    <x v="21"/>
    <x v="0"/>
    <n v="1"/>
    <n v="19239164"/>
    <n v="19239164"/>
  </r>
  <r>
    <x v="21"/>
    <x v="0"/>
    <n v="10"/>
    <n v="186780"/>
    <n v="186780"/>
  </r>
  <r>
    <x v="21"/>
    <x v="0"/>
    <n v="20"/>
    <n v="0"/>
    <n v="0"/>
  </r>
  <r>
    <x v="21"/>
    <x v="0"/>
    <n v="30"/>
    <n v="0"/>
    <n v="0"/>
  </r>
  <r>
    <x v="21"/>
    <x v="0"/>
    <n v="50"/>
    <n v="21307780"/>
    <n v="21307780"/>
  </r>
  <r>
    <x v="21"/>
    <x v="0"/>
    <n v="70"/>
    <n v="-32054"/>
    <n v="-32054"/>
  </r>
  <r>
    <x v="21"/>
    <x v="0"/>
    <n v="110"/>
    <n v="10025340"/>
    <n v="-10025340"/>
  </r>
  <r>
    <x v="21"/>
    <x v="0"/>
    <n v="140"/>
    <n v="1580"/>
    <n v="-1580"/>
  </r>
  <r>
    <x v="21"/>
    <x v="0"/>
    <n v="141"/>
    <n v="10547820"/>
    <n v="-10547820"/>
  </r>
  <r>
    <x v="21"/>
    <x v="0"/>
    <n v="200"/>
    <n v="0"/>
    <n v="0"/>
  </r>
  <r>
    <x v="21"/>
    <x v="0"/>
    <n v="210"/>
    <n v="218830"/>
    <n v="-218830"/>
  </r>
  <r>
    <x v="21"/>
    <x v="0"/>
    <n v="220"/>
    <n v="0"/>
    <n v="0"/>
  </r>
  <r>
    <x v="21"/>
    <x v="0"/>
    <n v="230"/>
    <n v="0"/>
    <n v="0"/>
  </r>
  <r>
    <x v="21"/>
    <x v="0"/>
    <n v="298"/>
    <n v="0"/>
    <n v="0"/>
  </r>
  <r>
    <x v="21"/>
    <x v="1"/>
    <n v="1"/>
    <n v="0"/>
    <n v="0"/>
  </r>
  <r>
    <x v="21"/>
    <x v="1"/>
    <n v="10"/>
    <n v="0"/>
    <n v="0"/>
  </r>
  <r>
    <x v="21"/>
    <x v="1"/>
    <n v="20"/>
    <n v="0"/>
    <n v="0"/>
  </r>
  <r>
    <x v="21"/>
    <x v="1"/>
    <n v="50"/>
    <n v="0"/>
    <n v="0"/>
  </r>
  <r>
    <x v="21"/>
    <x v="1"/>
    <n v="70"/>
    <n v="0"/>
    <n v="0"/>
  </r>
  <r>
    <x v="21"/>
    <x v="1"/>
    <n v="110"/>
    <n v="0"/>
    <n v="0"/>
  </r>
  <r>
    <x v="21"/>
    <x v="1"/>
    <n v="140"/>
    <n v="0"/>
    <n v="0"/>
  </r>
  <r>
    <x v="21"/>
    <x v="1"/>
    <n v="230"/>
    <n v="0"/>
    <n v="0"/>
  </r>
  <r>
    <x v="21"/>
    <x v="1"/>
    <n v="298"/>
    <n v="0"/>
    <n v="0"/>
  </r>
  <r>
    <x v="21"/>
    <x v="2"/>
    <n v="1"/>
    <n v="0"/>
    <n v="0"/>
  </r>
  <r>
    <x v="21"/>
    <x v="2"/>
    <n v="10"/>
    <n v="0"/>
    <n v="0"/>
  </r>
  <r>
    <x v="21"/>
    <x v="2"/>
    <n v="20"/>
    <n v="0"/>
    <n v="0"/>
  </r>
  <r>
    <x v="21"/>
    <x v="2"/>
    <n v="30"/>
    <n v="0"/>
    <n v="0"/>
  </r>
  <r>
    <x v="21"/>
    <x v="2"/>
    <n v="50"/>
    <n v="0"/>
    <n v="0"/>
  </r>
  <r>
    <x v="21"/>
    <x v="2"/>
    <n v="70"/>
    <n v="0"/>
    <n v="0"/>
  </r>
  <r>
    <x v="21"/>
    <x v="2"/>
    <n v="100"/>
    <n v="0"/>
    <n v="0"/>
  </r>
  <r>
    <x v="21"/>
    <x v="2"/>
    <n v="110"/>
    <n v="0"/>
    <n v="0"/>
  </r>
  <r>
    <x v="21"/>
    <x v="2"/>
    <n v="140"/>
    <n v="0"/>
    <n v="0"/>
  </r>
  <r>
    <x v="21"/>
    <x v="2"/>
    <n v="200"/>
    <n v="0"/>
    <n v="0"/>
  </r>
  <r>
    <x v="21"/>
    <x v="2"/>
    <n v="210"/>
    <n v="0"/>
    <n v="0"/>
  </r>
  <r>
    <x v="21"/>
    <x v="2"/>
    <n v="220"/>
    <n v="0"/>
    <n v="0"/>
  </r>
  <r>
    <x v="21"/>
    <x v="2"/>
    <n v="230"/>
    <n v="0"/>
    <n v="0"/>
  </r>
  <r>
    <x v="21"/>
    <x v="2"/>
    <n v="298"/>
    <n v="0"/>
    <n v="0"/>
  </r>
  <r>
    <x v="21"/>
    <x v="3"/>
    <n v="1"/>
    <n v="0"/>
    <n v="0"/>
  </r>
  <r>
    <x v="21"/>
    <x v="3"/>
    <n v="10"/>
    <n v="0"/>
    <n v="0"/>
  </r>
  <r>
    <x v="21"/>
    <x v="3"/>
    <n v="20"/>
    <n v="0"/>
    <n v="0"/>
  </r>
  <r>
    <x v="21"/>
    <x v="3"/>
    <n v="50"/>
    <n v="0"/>
    <n v="0"/>
  </r>
  <r>
    <x v="21"/>
    <x v="3"/>
    <n v="70"/>
    <n v="0"/>
    <n v="0"/>
  </r>
  <r>
    <x v="21"/>
    <x v="3"/>
    <n v="110"/>
    <n v="0"/>
    <n v="0"/>
  </r>
  <r>
    <x v="21"/>
    <x v="3"/>
    <n v="120"/>
    <n v="0"/>
    <n v="0"/>
  </r>
  <r>
    <x v="21"/>
    <x v="3"/>
    <n v="130"/>
    <n v="0"/>
    <n v="0"/>
  </r>
  <r>
    <x v="21"/>
    <x v="3"/>
    <n v="140"/>
    <n v="0"/>
    <n v="0"/>
  </r>
  <r>
    <x v="21"/>
    <x v="3"/>
    <n v="200"/>
    <n v="0"/>
    <n v="0"/>
  </r>
  <r>
    <x v="21"/>
    <x v="3"/>
    <n v="220"/>
    <n v="0"/>
    <n v="0"/>
  </r>
  <r>
    <x v="21"/>
    <x v="3"/>
    <n v="230"/>
    <n v="0"/>
    <n v="0"/>
  </r>
  <r>
    <x v="21"/>
    <x v="3"/>
    <n v="298"/>
    <n v="0"/>
    <n v="0"/>
  </r>
  <r>
    <x v="22"/>
    <x v="0"/>
    <n v="1"/>
    <n v="1559609"/>
    <n v="1559609"/>
  </r>
  <r>
    <x v="22"/>
    <x v="0"/>
    <n v="10"/>
    <n v="21539780"/>
    <n v="21539780"/>
  </r>
  <r>
    <x v="22"/>
    <x v="0"/>
    <n v="20"/>
    <n v="0"/>
    <n v="0"/>
  </r>
  <r>
    <x v="22"/>
    <x v="0"/>
    <n v="40"/>
    <n v="0"/>
    <n v="0"/>
  </r>
  <r>
    <x v="22"/>
    <x v="0"/>
    <n v="50"/>
    <n v="0"/>
    <n v="0"/>
  </r>
  <r>
    <x v="22"/>
    <x v="0"/>
    <n v="70"/>
    <n v="0"/>
    <n v="0"/>
  </r>
  <r>
    <x v="22"/>
    <x v="0"/>
    <n v="110"/>
    <n v="17961760"/>
    <n v="-17961760"/>
  </r>
  <r>
    <x v="22"/>
    <x v="0"/>
    <n v="120"/>
    <n v="0"/>
    <n v="0"/>
  </r>
  <r>
    <x v="22"/>
    <x v="0"/>
    <n v="130"/>
    <n v="0"/>
    <n v="0"/>
  </r>
  <r>
    <x v="22"/>
    <x v="0"/>
    <n v="140"/>
    <n v="671200"/>
    <n v="-671200"/>
  </r>
  <r>
    <x v="22"/>
    <x v="0"/>
    <n v="141"/>
    <n v="785920"/>
    <n v="-785920"/>
  </r>
  <r>
    <x v="22"/>
    <x v="0"/>
    <n v="200"/>
    <n v="107699"/>
    <n v="-107699"/>
  </r>
  <r>
    <x v="22"/>
    <x v="0"/>
    <n v="210"/>
    <n v="288287"/>
    <n v="-288287"/>
  </r>
  <r>
    <x v="22"/>
    <x v="0"/>
    <n v="220"/>
    <n v="0"/>
    <n v="0"/>
  </r>
  <r>
    <x v="22"/>
    <x v="0"/>
    <n v="230"/>
    <n v="0"/>
    <n v="0"/>
  </r>
  <r>
    <x v="22"/>
    <x v="0"/>
    <n v="298"/>
    <n v="0"/>
    <n v="0"/>
  </r>
  <r>
    <x v="22"/>
    <x v="1"/>
    <n v="1"/>
    <n v="2208769"/>
    <n v="2208769"/>
  </r>
  <r>
    <x v="22"/>
    <x v="1"/>
    <n v="10"/>
    <n v="1511540"/>
    <n v="1511540"/>
  </r>
  <r>
    <x v="22"/>
    <x v="1"/>
    <n v="20"/>
    <n v="102691"/>
    <n v="102691"/>
  </r>
  <r>
    <x v="22"/>
    <x v="1"/>
    <n v="50"/>
    <n v="0"/>
    <n v="0"/>
  </r>
  <r>
    <x v="22"/>
    <x v="1"/>
    <n v="70"/>
    <n v="0"/>
    <n v="0"/>
  </r>
  <r>
    <x v="22"/>
    <x v="1"/>
    <n v="100"/>
    <n v="0"/>
    <n v="0"/>
  </r>
  <r>
    <x v="22"/>
    <x v="1"/>
    <n v="110"/>
    <n v="1118720"/>
    <n v="-1118720"/>
  </r>
  <r>
    <x v="22"/>
    <x v="1"/>
    <n v="120"/>
    <n v="0"/>
    <n v="0"/>
  </r>
  <r>
    <x v="22"/>
    <x v="1"/>
    <n v="130"/>
    <n v="0"/>
    <n v="0"/>
  </r>
  <r>
    <x v="22"/>
    <x v="1"/>
    <n v="140"/>
    <n v="0"/>
    <n v="0"/>
  </r>
  <r>
    <x v="22"/>
    <x v="1"/>
    <n v="141"/>
    <n v="2143680"/>
    <n v="-2143680"/>
  </r>
  <r>
    <x v="22"/>
    <x v="1"/>
    <n v="200"/>
    <n v="7558"/>
    <n v="-7558"/>
  </r>
  <r>
    <x v="22"/>
    <x v="1"/>
    <n v="210"/>
    <n v="0"/>
    <n v="0"/>
  </r>
  <r>
    <x v="22"/>
    <x v="1"/>
    <n v="220"/>
    <n v="0"/>
    <n v="0"/>
  </r>
  <r>
    <x v="22"/>
    <x v="1"/>
    <n v="230"/>
    <n v="7181"/>
    <n v="-7181"/>
  </r>
  <r>
    <x v="22"/>
    <x v="1"/>
    <n v="260"/>
    <n v="0"/>
    <n v="0"/>
  </r>
  <r>
    <x v="22"/>
    <x v="1"/>
    <n v="298"/>
    <n v="0"/>
    <n v="0"/>
  </r>
  <r>
    <x v="22"/>
    <x v="2"/>
    <n v="1"/>
    <n v="0"/>
    <n v="0"/>
  </r>
  <r>
    <x v="22"/>
    <x v="2"/>
    <n v="10"/>
    <n v="0"/>
    <n v="0"/>
  </r>
  <r>
    <x v="22"/>
    <x v="2"/>
    <n v="110"/>
    <n v="0"/>
    <n v="0"/>
  </r>
  <r>
    <x v="22"/>
    <x v="2"/>
    <n v="210"/>
    <n v="0"/>
    <n v="0"/>
  </r>
  <r>
    <x v="22"/>
    <x v="2"/>
    <n v="220"/>
    <n v="0"/>
    <n v="0"/>
  </r>
  <r>
    <x v="22"/>
    <x v="2"/>
    <n v="298"/>
    <n v="0"/>
    <n v="0"/>
  </r>
  <r>
    <x v="22"/>
    <x v="3"/>
    <n v="1"/>
    <n v="10407475"/>
    <n v="10407475"/>
  </r>
  <r>
    <x v="22"/>
    <x v="3"/>
    <n v="10"/>
    <n v="13456360"/>
    <n v="13456360"/>
  </r>
  <r>
    <x v="22"/>
    <x v="3"/>
    <n v="20"/>
    <n v="428545"/>
    <n v="428545"/>
  </r>
  <r>
    <x v="22"/>
    <x v="3"/>
    <n v="50"/>
    <n v="0"/>
    <n v="0"/>
  </r>
  <r>
    <x v="22"/>
    <x v="3"/>
    <n v="70"/>
    <n v="0"/>
    <n v="0"/>
  </r>
  <r>
    <x v="22"/>
    <x v="3"/>
    <n v="110"/>
    <n v="7274400"/>
    <n v="-7274400"/>
  </r>
  <r>
    <x v="22"/>
    <x v="3"/>
    <n v="120"/>
    <n v="0"/>
    <n v="0"/>
  </r>
  <r>
    <x v="22"/>
    <x v="3"/>
    <n v="130"/>
    <n v="0"/>
    <n v="0"/>
  </r>
  <r>
    <x v="22"/>
    <x v="3"/>
    <n v="140"/>
    <n v="1479520"/>
    <n v="-1479520"/>
  </r>
  <r>
    <x v="22"/>
    <x v="3"/>
    <n v="141"/>
    <n v="11392720"/>
    <n v="-11392720"/>
  </r>
  <r>
    <x v="22"/>
    <x v="3"/>
    <n v="200"/>
    <n v="134564"/>
    <n v="-134564"/>
  </r>
  <r>
    <x v="22"/>
    <x v="3"/>
    <n v="210"/>
    <n v="6220"/>
    <n v="-6220"/>
  </r>
  <r>
    <x v="22"/>
    <x v="3"/>
    <n v="220"/>
    <n v="0"/>
    <n v="0"/>
  </r>
  <r>
    <x v="22"/>
    <x v="3"/>
    <n v="230"/>
    <n v="14267"/>
    <n v="-14267"/>
  </r>
  <r>
    <x v="22"/>
    <x v="3"/>
    <n v="298"/>
    <n v="0"/>
    <n v="0"/>
  </r>
  <r>
    <x v="23"/>
    <x v="0"/>
    <n v="1"/>
    <n v="31436552"/>
    <n v="31436552"/>
  </r>
  <r>
    <x v="23"/>
    <x v="0"/>
    <n v="10"/>
    <n v="0"/>
    <n v="0"/>
  </r>
  <r>
    <x v="23"/>
    <x v="0"/>
    <n v="20"/>
    <n v="0"/>
    <n v="0"/>
  </r>
  <r>
    <x v="23"/>
    <x v="0"/>
    <n v="30"/>
    <n v="0"/>
    <n v="0"/>
  </r>
  <r>
    <x v="23"/>
    <x v="0"/>
    <n v="40"/>
    <n v="0"/>
    <n v="0"/>
  </r>
  <r>
    <x v="23"/>
    <x v="0"/>
    <n v="50"/>
    <n v="26143070"/>
    <n v="26143070"/>
  </r>
  <r>
    <x v="23"/>
    <x v="0"/>
    <n v="70"/>
    <n v="0"/>
    <n v="0"/>
  </r>
  <r>
    <x v="23"/>
    <x v="0"/>
    <n v="110"/>
    <n v="109140"/>
    <n v="-109140"/>
  </r>
  <r>
    <x v="23"/>
    <x v="0"/>
    <n v="130"/>
    <n v="0"/>
    <n v="0"/>
  </r>
  <r>
    <x v="23"/>
    <x v="0"/>
    <n v="140"/>
    <n v="0"/>
    <n v="0"/>
  </r>
  <r>
    <x v="23"/>
    <x v="0"/>
    <n v="141"/>
    <n v="24462680"/>
    <n v="-24462680"/>
  </r>
  <r>
    <x v="23"/>
    <x v="0"/>
    <n v="200"/>
    <n v="0"/>
    <n v="0"/>
  </r>
  <r>
    <x v="23"/>
    <x v="0"/>
    <n v="210"/>
    <n v="231026"/>
    <n v="-231026"/>
  </r>
  <r>
    <x v="23"/>
    <x v="0"/>
    <n v="220"/>
    <n v="0"/>
    <n v="0"/>
  </r>
  <r>
    <x v="23"/>
    <x v="0"/>
    <n v="270"/>
    <n v="0"/>
    <n v="0"/>
  </r>
  <r>
    <x v="23"/>
    <x v="0"/>
    <n v="298"/>
    <n v="0"/>
    <n v="0"/>
  </r>
  <r>
    <x v="23"/>
    <x v="1"/>
    <n v="1"/>
    <n v="0"/>
    <n v="0"/>
  </r>
  <r>
    <x v="23"/>
    <x v="1"/>
    <n v="20"/>
    <n v="0"/>
    <n v="0"/>
  </r>
  <r>
    <x v="23"/>
    <x v="1"/>
    <n v="50"/>
    <n v="0"/>
    <n v="0"/>
  </r>
  <r>
    <x v="23"/>
    <x v="1"/>
    <n v="110"/>
    <n v="0"/>
    <n v="0"/>
  </r>
  <r>
    <x v="23"/>
    <x v="1"/>
    <n v="140"/>
    <n v="0"/>
    <n v="0"/>
  </r>
  <r>
    <x v="23"/>
    <x v="1"/>
    <n v="220"/>
    <n v="0"/>
    <n v="0"/>
  </r>
  <r>
    <x v="23"/>
    <x v="1"/>
    <n v="230"/>
    <n v="0"/>
    <n v="0"/>
  </r>
  <r>
    <x v="23"/>
    <x v="1"/>
    <n v="298"/>
    <n v="0"/>
    <n v="0"/>
  </r>
  <r>
    <x v="23"/>
    <x v="2"/>
    <n v="10"/>
    <n v="0"/>
    <n v="0"/>
  </r>
  <r>
    <x v="23"/>
    <x v="2"/>
    <n v="50"/>
    <n v="0"/>
    <n v="0"/>
  </r>
  <r>
    <x v="23"/>
    <x v="2"/>
    <n v="110"/>
    <n v="0"/>
    <n v="0"/>
  </r>
  <r>
    <x v="23"/>
    <x v="2"/>
    <n v="230"/>
    <n v="0"/>
    <n v="0"/>
  </r>
  <r>
    <x v="23"/>
    <x v="3"/>
    <n v="50"/>
    <n v="0"/>
    <n v="0"/>
  </r>
  <r>
    <x v="23"/>
    <x v="3"/>
    <n v="110"/>
    <n v="0"/>
    <n v="0"/>
  </r>
  <r>
    <x v="24"/>
    <x v="0"/>
    <n v="1"/>
    <n v="53585"/>
    <n v="53585"/>
  </r>
  <r>
    <x v="24"/>
    <x v="0"/>
    <n v="10"/>
    <n v="52010240"/>
    <n v="52010240"/>
  </r>
  <r>
    <x v="24"/>
    <x v="0"/>
    <n v="20"/>
    <n v="600026"/>
    <n v="600026"/>
  </r>
  <r>
    <x v="24"/>
    <x v="0"/>
    <n v="50"/>
    <n v="14460481"/>
    <n v="14460481"/>
  </r>
  <r>
    <x v="24"/>
    <x v="0"/>
    <n v="70"/>
    <n v="459561"/>
    <n v="459561"/>
  </r>
  <r>
    <x v="24"/>
    <x v="0"/>
    <n v="110"/>
    <n v="12842000"/>
    <n v="-12842000"/>
  </r>
  <r>
    <x v="24"/>
    <x v="0"/>
    <n v="140"/>
    <n v="12146220"/>
    <n v="-12146220"/>
  </r>
  <r>
    <x v="24"/>
    <x v="0"/>
    <n v="141"/>
    <n v="41992620"/>
    <n v="-41992620"/>
  </r>
  <r>
    <x v="24"/>
    <x v="0"/>
    <n v="200"/>
    <n v="246728"/>
    <n v="-246728"/>
  </r>
  <r>
    <x v="24"/>
    <x v="0"/>
    <n v="210"/>
    <n v="214368"/>
    <n v="-214368"/>
  </r>
  <r>
    <x v="24"/>
    <x v="0"/>
    <n v="220"/>
    <n v="0"/>
    <n v="0"/>
  </r>
  <r>
    <x v="24"/>
    <x v="1"/>
    <n v="1"/>
    <n v="0"/>
    <n v="0"/>
  </r>
  <r>
    <x v="24"/>
    <x v="1"/>
    <n v="10"/>
    <n v="7727600"/>
    <n v="7727600"/>
  </r>
  <r>
    <x v="24"/>
    <x v="1"/>
    <n v="20"/>
    <n v="0"/>
    <n v="0"/>
  </r>
  <r>
    <x v="24"/>
    <x v="1"/>
    <n v="50"/>
    <n v="5450880"/>
    <n v="5450880"/>
  </r>
  <r>
    <x v="24"/>
    <x v="1"/>
    <n v="110"/>
    <n v="0"/>
    <n v="0"/>
  </r>
  <r>
    <x v="24"/>
    <x v="1"/>
    <n v="140"/>
    <n v="0"/>
    <n v="0"/>
  </r>
  <r>
    <x v="24"/>
    <x v="1"/>
    <n v="200"/>
    <n v="38638"/>
    <n v="-38638"/>
  </r>
  <r>
    <x v="24"/>
    <x v="1"/>
    <n v="220"/>
    <n v="0"/>
    <n v="0"/>
  </r>
  <r>
    <x v="24"/>
    <x v="1"/>
    <n v="230"/>
    <n v="223805"/>
    <n v="-223805"/>
  </r>
  <r>
    <x v="24"/>
    <x v="2"/>
    <n v="1"/>
    <n v="13891143"/>
    <n v="13891143"/>
  </r>
  <r>
    <x v="24"/>
    <x v="2"/>
    <n v="10"/>
    <n v="11654900"/>
    <n v="11654900"/>
  </r>
  <r>
    <x v="24"/>
    <x v="2"/>
    <n v="20"/>
    <n v="13677"/>
    <n v="13677"/>
  </r>
  <r>
    <x v="24"/>
    <x v="2"/>
    <n v="50"/>
    <n v="0"/>
    <n v="0"/>
  </r>
  <r>
    <x v="24"/>
    <x v="2"/>
    <n v="110"/>
    <n v="164660"/>
    <n v="-164660"/>
  </r>
  <r>
    <x v="24"/>
    <x v="2"/>
    <n v="140"/>
    <n v="14880"/>
    <n v="-14880"/>
  </r>
  <r>
    <x v="24"/>
    <x v="2"/>
    <n v="141"/>
    <n v="13833540"/>
    <n v="-13833540"/>
  </r>
  <r>
    <x v="24"/>
    <x v="2"/>
    <n v="200"/>
    <n v="58274"/>
    <n v="-58274"/>
  </r>
  <r>
    <x v="24"/>
    <x v="2"/>
    <n v="210"/>
    <n v="19739"/>
    <n v="-19739"/>
  </r>
  <r>
    <x v="24"/>
    <x v="2"/>
    <n v="220"/>
    <n v="0"/>
    <n v="0"/>
  </r>
  <r>
    <x v="24"/>
    <x v="2"/>
    <n v="230"/>
    <n v="63276"/>
    <n v="-63276"/>
  </r>
  <r>
    <x v="24"/>
    <x v="3"/>
    <n v="1"/>
    <n v="27786964"/>
    <n v="27786964"/>
  </r>
  <r>
    <x v="24"/>
    <x v="3"/>
    <n v="10"/>
    <n v="28474920"/>
    <n v="28474920"/>
  </r>
  <r>
    <x v="24"/>
    <x v="3"/>
    <n v="20"/>
    <n v="57114"/>
    <n v="57114"/>
  </r>
  <r>
    <x v="24"/>
    <x v="3"/>
    <n v="50"/>
    <n v="3137380"/>
    <n v="3137380"/>
  </r>
  <r>
    <x v="24"/>
    <x v="3"/>
    <n v="110"/>
    <n v="29430180"/>
    <n v="-29430180"/>
  </r>
  <r>
    <x v="24"/>
    <x v="3"/>
    <n v="120"/>
    <n v="7280"/>
    <n v="-7280"/>
  </r>
  <r>
    <x v="24"/>
    <x v="3"/>
    <n v="140"/>
    <n v="11939480"/>
    <n v="-11939480"/>
  </r>
  <r>
    <x v="24"/>
    <x v="3"/>
    <n v="141"/>
    <n v="170560"/>
    <n v="-170560"/>
  </r>
  <r>
    <x v="24"/>
    <x v="3"/>
    <n v="200"/>
    <n v="284538"/>
    <n v="-284538"/>
  </r>
  <r>
    <x v="24"/>
    <x v="3"/>
    <n v="210"/>
    <n v="9899"/>
    <n v="-9899"/>
  </r>
  <r>
    <x v="24"/>
    <x v="3"/>
    <n v="220"/>
    <n v="0"/>
    <n v="0"/>
  </r>
  <r>
    <x v="24"/>
    <x v="3"/>
    <n v="230"/>
    <n v="124723"/>
    <n v="-124723"/>
  </r>
  <r>
    <x v="25"/>
    <x v="0"/>
    <n v="1"/>
    <n v="54530141"/>
    <n v="54530141"/>
  </r>
  <r>
    <x v="25"/>
    <x v="0"/>
    <n v="10"/>
    <n v="0"/>
    <n v="0"/>
  </r>
  <r>
    <x v="25"/>
    <x v="0"/>
    <n v="50"/>
    <n v="0"/>
    <n v="0"/>
  </r>
  <r>
    <x v="25"/>
    <x v="0"/>
    <n v="70"/>
    <n v="-459561"/>
    <n v="-459561"/>
  </r>
  <r>
    <x v="25"/>
    <x v="0"/>
    <n v="100"/>
    <n v="0"/>
    <n v="0"/>
  </r>
  <r>
    <x v="25"/>
    <x v="0"/>
    <n v="110"/>
    <n v="1417780"/>
    <n v="-1417780"/>
  </r>
  <r>
    <x v="25"/>
    <x v="0"/>
    <n v="140"/>
    <n v="14352000"/>
    <n v="-14352000"/>
  </r>
  <r>
    <x v="25"/>
    <x v="0"/>
    <n v="141"/>
    <n v="38300800"/>
    <n v="-38300800"/>
  </r>
  <r>
    <x v="25"/>
    <x v="0"/>
    <n v="200"/>
    <n v="0"/>
    <n v="0"/>
  </r>
  <r>
    <x v="25"/>
    <x v="0"/>
    <n v="210"/>
    <n v="0"/>
    <n v="0"/>
  </r>
  <r>
    <x v="25"/>
    <x v="2"/>
    <n v="10"/>
    <n v="0"/>
    <n v="0"/>
  </r>
  <r>
    <x v="25"/>
    <x v="3"/>
    <n v="10"/>
    <n v="1836940"/>
    <n v="1836940"/>
  </r>
  <r>
    <x v="25"/>
    <x v="3"/>
    <n v="50"/>
    <n v="49152080"/>
    <n v="49152080"/>
  </r>
  <r>
    <x v="25"/>
    <x v="3"/>
    <n v="200"/>
    <n v="18369"/>
    <n v="-18369"/>
  </r>
  <r>
    <x v="25"/>
    <x v="3"/>
    <n v="210"/>
    <n v="27945"/>
    <n v="-27945"/>
  </r>
  <r>
    <x v="25"/>
    <x v="3"/>
    <n v="230"/>
    <n v="4096"/>
    <n v="-4096"/>
  </r>
  <r>
    <x v="26"/>
    <x v="0"/>
    <n v="1"/>
    <n v="24832228"/>
    <n v="24832228"/>
  </r>
  <r>
    <x v="26"/>
    <x v="0"/>
    <n v="10"/>
    <n v="15885440"/>
    <n v="15885440"/>
  </r>
  <r>
    <x v="26"/>
    <x v="0"/>
    <n v="50"/>
    <n v="6449220"/>
    <n v="6449220"/>
  </r>
  <r>
    <x v="26"/>
    <x v="0"/>
    <n v="70"/>
    <n v="0"/>
    <n v="0"/>
  </r>
  <r>
    <x v="26"/>
    <x v="0"/>
    <n v="110"/>
    <n v="0"/>
    <n v="0"/>
  </r>
  <r>
    <x v="26"/>
    <x v="0"/>
    <n v="130"/>
    <n v="0"/>
    <n v="0"/>
  </r>
  <r>
    <x v="26"/>
    <x v="0"/>
    <n v="140"/>
    <n v="0"/>
    <n v="0"/>
  </r>
  <r>
    <x v="26"/>
    <x v="0"/>
    <n v="200"/>
    <n v="79427"/>
    <n v="-79427"/>
  </r>
  <r>
    <x v="26"/>
    <x v="0"/>
    <n v="210"/>
    <n v="108901"/>
    <n v="-108901"/>
  </r>
  <r>
    <x v="26"/>
    <x v="1"/>
    <n v="1"/>
    <n v="0"/>
    <n v="0"/>
  </r>
  <r>
    <x v="26"/>
    <x v="1"/>
    <n v="10"/>
    <n v="0"/>
    <n v="0"/>
  </r>
  <r>
    <x v="26"/>
    <x v="1"/>
    <n v="50"/>
    <n v="0"/>
    <n v="0"/>
  </r>
  <r>
    <x v="26"/>
    <x v="1"/>
    <n v="70"/>
    <n v="0"/>
    <n v="0"/>
  </r>
  <r>
    <x v="26"/>
    <x v="1"/>
    <n v="110"/>
    <n v="0"/>
    <n v="0"/>
  </r>
  <r>
    <x v="26"/>
    <x v="1"/>
    <n v="130"/>
    <n v="0"/>
    <n v="0"/>
  </r>
  <r>
    <x v="26"/>
    <x v="1"/>
    <n v="140"/>
    <n v="0"/>
    <n v="0"/>
  </r>
  <r>
    <x v="26"/>
    <x v="1"/>
    <n v="200"/>
    <n v="0"/>
    <n v="0"/>
  </r>
  <r>
    <x v="26"/>
    <x v="1"/>
    <n v="230"/>
    <n v="0"/>
    <n v="0"/>
  </r>
  <r>
    <x v="26"/>
    <x v="2"/>
    <n v="10"/>
    <n v="0"/>
    <n v="0"/>
  </r>
  <r>
    <x v="26"/>
    <x v="2"/>
    <n v="210"/>
    <n v="0"/>
    <n v="0"/>
  </r>
  <r>
    <x v="26"/>
    <x v="2"/>
    <n v="230"/>
    <n v="0"/>
    <n v="0"/>
  </r>
  <r>
    <x v="26"/>
    <x v="3"/>
    <n v="1"/>
    <n v="0"/>
    <n v="0"/>
  </r>
  <r>
    <x v="26"/>
    <x v="3"/>
    <n v="10"/>
    <n v="0"/>
    <n v="0"/>
  </r>
  <r>
    <x v="26"/>
    <x v="3"/>
    <n v="50"/>
    <n v="0"/>
    <n v="0"/>
  </r>
  <r>
    <x v="26"/>
    <x v="3"/>
    <n v="70"/>
    <n v="0"/>
    <n v="0"/>
  </r>
  <r>
    <x v="26"/>
    <x v="3"/>
    <n v="110"/>
    <n v="0"/>
    <n v="0"/>
  </r>
  <r>
    <x v="26"/>
    <x v="3"/>
    <n v="140"/>
    <n v="0"/>
    <n v="0"/>
  </r>
  <r>
    <x v="26"/>
    <x v="3"/>
    <n v="200"/>
    <n v="0"/>
    <n v="0"/>
  </r>
  <r>
    <x v="26"/>
    <x v="3"/>
    <n v="210"/>
    <n v="0"/>
    <n v="0"/>
  </r>
  <r>
    <x v="26"/>
    <x v="3"/>
    <n v="220"/>
    <n v="0"/>
    <n v="0"/>
  </r>
  <r>
    <x v="26"/>
    <x v="3"/>
    <n v="230"/>
    <n v="0"/>
    <n v="0"/>
  </r>
  <r>
    <x v="27"/>
    <x v="0"/>
    <n v="1"/>
    <n v="5978984"/>
    <n v="5978984"/>
  </r>
  <r>
    <x v="27"/>
    <x v="0"/>
    <n v="10"/>
    <n v="25406140"/>
    <n v="25406140"/>
  </r>
  <r>
    <x v="27"/>
    <x v="0"/>
    <n v="15"/>
    <n v="0"/>
    <n v="0"/>
  </r>
  <r>
    <x v="27"/>
    <x v="0"/>
    <n v="20"/>
    <n v="0"/>
    <n v="0"/>
  </r>
  <r>
    <x v="27"/>
    <x v="0"/>
    <n v="50"/>
    <n v="1493580"/>
    <n v="1493580"/>
  </r>
  <r>
    <x v="27"/>
    <x v="0"/>
    <n v="70"/>
    <n v="0"/>
    <n v="0"/>
  </r>
  <r>
    <x v="27"/>
    <x v="0"/>
    <n v="100"/>
    <n v="0"/>
    <n v="0"/>
  </r>
  <r>
    <x v="27"/>
    <x v="0"/>
    <n v="110"/>
    <n v="0"/>
    <n v="0"/>
  </r>
  <r>
    <x v="27"/>
    <x v="0"/>
    <n v="120"/>
    <n v="8560"/>
    <n v="-8560"/>
  </r>
  <r>
    <x v="27"/>
    <x v="0"/>
    <n v="130"/>
    <n v="0"/>
    <n v="0"/>
  </r>
  <r>
    <x v="27"/>
    <x v="0"/>
    <n v="140"/>
    <n v="6505000"/>
    <n v="-6505000"/>
  </r>
  <r>
    <x v="27"/>
    <x v="0"/>
    <n v="200"/>
    <n v="126047"/>
    <n v="-126047"/>
  </r>
  <r>
    <x v="27"/>
    <x v="0"/>
    <n v="210"/>
    <n v="201849"/>
    <n v="-201849"/>
  </r>
  <r>
    <x v="27"/>
    <x v="1"/>
    <n v="1"/>
    <n v="2341338"/>
    <n v="2341338"/>
  </r>
  <r>
    <x v="27"/>
    <x v="1"/>
    <n v="10"/>
    <n v="18232720"/>
    <n v="18232720"/>
  </r>
  <r>
    <x v="27"/>
    <x v="1"/>
    <n v="20"/>
    <n v="398783"/>
    <n v="398783"/>
  </r>
  <r>
    <x v="27"/>
    <x v="1"/>
    <n v="50"/>
    <n v="0"/>
    <n v="0"/>
  </r>
  <r>
    <x v="27"/>
    <x v="1"/>
    <n v="70"/>
    <n v="0"/>
    <n v="0"/>
  </r>
  <r>
    <x v="27"/>
    <x v="1"/>
    <n v="100"/>
    <n v="0"/>
    <n v="0"/>
  </r>
  <r>
    <x v="27"/>
    <x v="1"/>
    <n v="110"/>
    <n v="211160"/>
    <n v="-211160"/>
  </r>
  <r>
    <x v="27"/>
    <x v="1"/>
    <n v="120"/>
    <n v="0"/>
    <n v="0"/>
  </r>
  <r>
    <x v="27"/>
    <x v="1"/>
    <n v="130"/>
    <n v="0"/>
    <n v="0"/>
  </r>
  <r>
    <x v="27"/>
    <x v="1"/>
    <n v="140"/>
    <n v="38240"/>
    <n v="-38240"/>
  </r>
  <r>
    <x v="27"/>
    <x v="1"/>
    <n v="141"/>
    <n v="20169340"/>
    <n v="-20169340"/>
  </r>
  <r>
    <x v="27"/>
    <x v="1"/>
    <n v="150"/>
    <n v="0"/>
    <n v="0"/>
  </r>
  <r>
    <x v="27"/>
    <x v="1"/>
    <n v="200"/>
    <n v="90927"/>
    <n v="-90927"/>
  </r>
  <r>
    <x v="27"/>
    <x v="1"/>
    <n v="210"/>
    <n v="0"/>
    <n v="0"/>
  </r>
  <r>
    <x v="27"/>
    <x v="1"/>
    <n v="220"/>
    <n v="0"/>
    <n v="0"/>
  </r>
  <r>
    <x v="27"/>
    <x v="1"/>
    <n v="230"/>
    <n v="463174"/>
    <n v="-463174"/>
  </r>
  <r>
    <x v="27"/>
    <x v="2"/>
    <n v="1"/>
    <n v="265314"/>
    <n v="265314"/>
  </r>
  <r>
    <x v="27"/>
    <x v="2"/>
    <n v="10"/>
    <n v="19702460"/>
    <n v="19702460"/>
  </r>
  <r>
    <x v="27"/>
    <x v="2"/>
    <n v="20"/>
    <n v="32626"/>
    <n v="32626"/>
  </r>
  <r>
    <x v="27"/>
    <x v="2"/>
    <n v="50"/>
    <n v="0"/>
    <n v="0"/>
  </r>
  <r>
    <x v="27"/>
    <x v="2"/>
    <n v="70"/>
    <n v="0"/>
    <n v="0"/>
  </r>
  <r>
    <x v="27"/>
    <x v="2"/>
    <n v="110"/>
    <n v="4554160"/>
    <n v="-4554160"/>
  </r>
  <r>
    <x v="27"/>
    <x v="2"/>
    <n v="130"/>
    <n v="0"/>
    <n v="0"/>
  </r>
  <r>
    <x v="27"/>
    <x v="2"/>
    <n v="140"/>
    <n v="303860"/>
    <n v="-303860"/>
  </r>
  <r>
    <x v="27"/>
    <x v="2"/>
    <n v="141"/>
    <n v="955960"/>
    <n v="-955960"/>
  </r>
  <r>
    <x v="27"/>
    <x v="2"/>
    <n v="200"/>
    <n v="98512"/>
    <n v="-98512"/>
  </r>
  <r>
    <x v="27"/>
    <x v="2"/>
    <n v="210"/>
    <n v="86028"/>
    <n v="-86028"/>
  </r>
  <r>
    <x v="27"/>
    <x v="2"/>
    <n v="220"/>
    <n v="0"/>
    <n v="0"/>
  </r>
  <r>
    <x v="27"/>
    <x v="2"/>
    <n v="230"/>
    <n v="92592"/>
    <n v="-92592"/>
  </r>
  <r>
    <x v="27"/>
    <x v="3"/>
    <n v="1"/>
    <n v="10320538"/>
    <n v="10320538"/>
  </r>
  <r>
    <x v="27"/>
    <x v="3"/>
    <n v="10"/>
    <n v="13619140"/>
    <n v="13619140"/>
  </r>
  <r>
    <x v="27"/>
    <x v="3"/>
    <n v="20"/>
    <n v="118682"/>
    <n v="118682"/>
  </r>
  <r>
    <x v="27"/>
    <x v="3"/>
    <n v="50"/>
    <n v="5679720"/>
    <n v="5679720"/>
  </r>
  <r>
    <x v="27"/>
    <x v="3"/>
    <n v="70"/>
    <n v="0"/>
    <n v="0"/>
  </r>
  <r>
    <x v="27"/>
    <x v="3"/>
    <n v="110"/>
    <n v="4652580"/>
    <n v="-4652580"/>
  </r>
  <r>
    <x v="27"/>
    <x v="3"/>
    <n v="120"/>
    <n v="16080"/>
    <n v="-16080"/>
  </r>
  <r>
    <x v="27"/>
    <x v="3"/>
    <n v="130"/>
    <n v="27580"/>
    <n v="-27580"/>
  </r>
  <r>
    <x v="27"/>
    <x v="3"/>
    <n v="140"/>
    <n v="0"/>
    <n v="0"/>
  </r>
  <r>
    <x v="27"/>
    <x v="3"/>
    <n v="141"/>
    <n v="12581000"/>
    <n v="-12581000"/>
  </r>
  <r>
    <x v="27"/>
    <x v="3"/>
    <n v="200"/>
    <n v="135303"/>
    <n v="-135303"/>
  </r>
  <r>
    <x v="27"/>
    <x v="3"/>
    <n v="210"/>
    <n v="110884"/>
    <n v="-110884"/>
  </r>
  <r>
    <x v="27"/>
    <x v="3"/>
    <n v="220"/>
    <n v="0"/>
    <n v="0"/>
  </r>
  <r>
    <x v="27"/>
    <x v="3"/>
    <n v="230"/>
    <n v="46681"/>
    <n v="-46681"/>
  </r>
  <r>
    <x v="28"/>
    <x v="0"/>
    <n v="1"/>
    <n v="27305923"/>
    <n v="27305923"/>
  </r>
  <r>
    <x v="28"/>
    <x v="0"/>
    <n v="10"/>
    <n v="32185460"/>
    <n v="32185460"/>
  </r>
  <r>
    <x v="28"/>
    <x v="0"/>
    <n v="20"/>
    <n v="0"/>
    <n v="0"/>
  </r>
  <r>
    <x v="28"/>
    <x v="0"/>
    <n v="50"/>
    <n v="2030900"/>
    <n v="2030900"/>
  </r>
  <r>
    <x v="28"/>
    <x v="0"/>
    <n v="60"/>
    <n v="0"/>
    <n v="0"/>
  </r>
  <r>
    <x v="28"/>
    <x v="0"/>
    <n v="70"/>
    <n v="0"/>
    <n v="0"/>
  </r>
  <r>
    <x v="28"/>
    <x v="0"/>
    <n v="110"/>
    <n v="12454100"/>
    <n v="-12454100"/>
  </r>
  <r>
    <x v="28"/>
    <x v="0"/>
    <n v="120"/>
    <n v="0"/>
    <n v="0"/>
  </r>
  <r>
    <x v="28"/>
    <x v="0"/>
    <n v="130"/>
    <n v="0"/>
    <n v="0"/>
  </r>
  <r>
    <x v="28"/>
    <x v="0"/>
    <n v="140"/>
    <n v="21514840"/>
    <n v="-21514840"/>
  </r>
  <r>
    <x v="28"/>
    <x v="0"/>
    <n v="141"/>
    <n v="12238700"/>
    <n v="-12238700"/>
  </r>
  <r>
    <x v="28"/>
    <x v="0"/>
    <n v="200"/>
    <n v="159422"/>
    <n v="-159422"/>
  </r>
  <r>
    <x v="28"/>
    <x v="0"/>
    <n v="210"/>
    <n v="196223"/>
    <n v="-196223"/>
  </r>
  <r>
    <x v="28"/>
    <x v="0"/>
    <n v="230"/>
    <n v="0"/>
    <n v="0"/>
  </r>
  <r>
    <x v="28"/>
    <x v="0"/>
    <n v="270"/>
    <n v="0"/>
    <n v="0"/>
  </r>
  <r>
    <x v="28"/>
    <x v="1"/>
    <n v="1"/>
    <n v="15308895"/>
    <n v="15308895"/>
  </r>
  <r>
    <x v="28"/>
    <x v="1"/>
    <n v="10"/>
    <n v="14743660"/>
    <n v="14743660"/>
  </r>
  <r>
    <x v="28"/>
    <x v="1"/>
    <n v="20"/>
    <n v="0"/>
    <n v="0"/>
  </r>
  <r>
    <x v="28"/>
    <x v="1"/>
    <n v="50"/>
    <n v="921380"/>
    <n v="921380"/>
  </r>
  <r>
    <x v="28"/>
    <x v="1"/>
    <n v="60"/>
    <n v="0"/>
    <n v="0"/>
  </r>
  <r>
    <x v="28"/>
    <x v="1"/>
    <n v="70"/>
    <n v="0"/>
    <n v="0"/>
  </r>
  <r>
    <x v="28"/>
    <x v="1"/>
    <n v="110"/>
    <n v="10153700"/>
    <n v="-10153700"/>
  </r>
  <r>
    <x v="28"/>
    <x v="1"/>
    <n v="120"/>
    <n v="14260"/>
    <n v="-14260"/>
  </r>
  <r>
    <x v="28"/>
    <x v="1"/>
    <n v="130"/>
    <n v="0"/>
    <n v="0"/>
  </r>
  <r>
    <x v="28"/>
    <x v="1"/>
    <n v="140"/>
    <n v="108740"/>
    <n v="-108740"/>
  </r>
  <r>
    <x v="28"/>
    <x v="1"/>
    <n v="141"/>
    <n v="18259160"/>
    <n v="-18259160"/>
  </r>
  <r>
    <x v="28"/>
    <x v="1"/>
    <n v="150"/>
    <n v="0"/>
    <n v="0"/>
  </r>
  <r>
    <x v="28"/>
    <x v="1"/>
    <n v="200"/>
    <n v="73440"/>
    <n v="-73440"/>
  </r>
  <r>
    <x v="28"/>
    <x v="1"/>
    <n v="210"/>
    <n v="0"/>
    <n v="0"/>
  </r>
  <r>
    <x v="28"/>
    <x v="1"/>
    <n v="230"/>
    <n v="200908"/>
    <n v="-200908"/>
  </r>
  <r>
    <x v="28"/>
    <x v="1"/>
    <n v="270"/>
    <n v="0"/>
    <n v="0"/>
  </r>
  <r>
    <x v="28"/>
    <x v="2"/>
    <n v="1"/>
    <n v="12801307"/>
    <n v="12801307"/>
  </r>
  <r>
    <x v="28"/>
    <x v="2"/>
    <n v="10"/>
    <n v="18493140"/>
    <n v="18493140"/>
  </r>
  <r>
    <x v="28"/>
    <x v="2"/>
    <n v="20"/>
    <n v="39233"/>
    <n v="39233"/>
  </r>
  <r>
    <x v="28"/>
    <x v="2"/>
    <n v="50"/>
    <n v="3346100"/>
    <n v="3346100"/>
  </r>
  <r>
    <x v="28"/>
    <x v="2"/>
    <n v="60"/>
    <n v="0"/>
    <n v="0"/>
  </r>
  <r>
    <x v="28"/>
    <x v="2"/>
    <n v="70"/>
    <n v="0"/>
    <n v="0"/>
  </r>
  <r>
    <x v="28"/>
    <x v="2"/>
    <n v="100"/>
    <n v="0"/>
    <n v="0"/>
  </r>
  <r>
    <x v="28"/>
    <x v="2"/>
    <n v="110"/>
    <n v="12896000"/>
    <n v="-12896000"/>
  </r>
  <r>
    <x v="28"/>
    <x v="2"/>
    <n v="130"/>
    <n v="0"/>
    <n v="0"/>
  </r>
  <r>
    <x v="28"/>
    <x v="2"/>
    <n v="140"/>
    <n v="0"/>
    <n v="0"/>
  </r>
  <r>
    <x v="28"/>
    <x v="2"/>
    <n v="200"/>
    <n v="92378"/>
    <n v="-92378"/>
  </r>
  <r>
    <x v="28"/>
    <x v="2"/>
    <n v="210"/>
    <n v="69205"/>
    <n v="-69205"/>
  </r>
  <r>
    <x v="28"/>
    <x v="2"/>
    <n v="220"/>
    <n v="0"/>
    <n v="0"/>
  </r>
  <r>
    <x v="28"/>
    <x v="2"/>
    <n v="230"/>
    <n v="34459"/>
    <n v="-34459"/>
  </r>
  <r>
    <x v="28"/>
    <x v="2"/>
    <n v="270"/>
    <n v="0"/>
    <n v="0"/>
  </r>
  <r>
    <x v="28"/>
    <x v="3"/>
    <n v="1"/>
    <n v="263058"/>
    <n v="263058"/>
  </r>
  <r>
    <x v="28"/>
    <x v="3"/>
    <n v="10"/>
    <n v="2469860"/>
    <n v="2469860"/>
  </r>
  <r>
    <x v="28"/>
    <x v="3"/>
    <n v="20"/>
    <n v="0"/>
    <n v="0"/>
  </r>
  <r>
    <x v="28"/>
    <x v="3"/>
    <n v="50"/>
    <n v="0"/>
    <n v="0"/>
  </r>
  <r>
    <x v="28"/>
    <x v="3"/>
    <n v="60"/>
    <n v="0"/>
    <n v="0"/>
  </r>
  <r>
    <x v="28"/>
    <x v="3"/>
    <n v="110"/>
    <n v="0"/>
    <n v="0"/>
  </r>
  <r>
    <x v="28"/>
    <x v="3"/>
    <n v="120"/>
    <n v="53800"/>
    <n v="-53800"/>
  </r>
  <r>
    <x v="28"/>
    <x v="3"/>
    <n v="130"/>
    <n v="0"/>
    <n v="0"/>
  </r>
  <r>
    <x v="28"/>
    <x v="3"/>
    <n v="140"/>
    <n v="0"/>
    <n v="0"/>
  </r>
  <r>
    <x v="28"/>
    <x v="3"/>
    <n v="141"/>
    <n v="941820"/>
    <n v="-941820"/>
  </r>
  <r>
    <x v="28"/>
    <x v="3"/>
    <n v="150"/>
    <n v="0"/>
    <n v="0"/>
  </r>
  <r>
    <x v="28"/>
    <x v="3"/>
    <n v="200"/>
    <n v="24699"/>
    <n v="-24699"/>
  </r>
  <r>
    <x v="28"/>
    <x v="3"/>
    <n v="210"/>
    <n v="0"/>
    <n v="0"/>
  </r>
  <r>
    <x v="28"/>
    <x v="3"/>
    <n v="220"/>
    <n v="0"/>
    <n v="0"/>
  </r>
  <r>
    <x v="28"/>
    <x v="3"/>
    <n v="230"/>
    <n v="3391"/>
    <n v="-3391"/>
  </r>
  <r>
    <x v="28"/>
    <x v="3"/>
    <n v="270"/>
    <n v="0"/>
    <n v="0"/>
  </r>
  <r>
    <x v="28"/>
    <x v="4"/>
    <n v="1"/>
    <n v="0"/>
    <n v="0"/>
  </r>
  <r>
    <x v="28"/>
    <x v="4"/>
    <n v="10"/>
    <n v="0"/>
    <n v="0"/>
  </r>
  <r>
    <x v="28"/>
    <x v="4"/>
    <n v="20"/>
    <n v="0"/>
    <n v="0"/>
  </r>
  <r>
    <x v="28"/>
    <x v="4"/>
    <n v="50"/>
    <n v="0"/>
    <n v="0"/>
  </r>
  <r>
    <x v="28"/>
    <x v="4"/>
    <n v="70"/>
    <n v="0"/>
    <n v="0"/>
  </r>
  <r>
    <x v="28"/>
    <x v="4"/>
    <n v="110"/>
    <n v="0"/>
    <n v="0"/>
  </r>
  <r>
    <x v="28"/>
    <x v="4"/>
    <n v="210"/>
    <n v="0"/>
    <n v="0"/>
  </r>
  <r>
    <x v="29"/>
    <x v="0"/>
    <n v="1"/>
    <n v="0"/>
    <n v="0"/>
  </r>
  <r>
    <x v="29"/>
    <x v="0"/>
    <n v="10"/>
    <n v="15624540"/>
    <n v="15624540"/>
  </r>
  <r>
    <x v="29"/>
    <x v="0"/>
    <n v="20"/>
    <n v="51278"/>
    <n v="51278"/>
  </r>
  <r>
    <x v="29"/>
    <x v="0"/>
    <n v="70"/>
    <n v="0"/>
    <n v="0"/>
  </r>
  <r>
    <x v="29"/>
    <x v="0"/>
    <n v="110"/>
    <n v="4871680"/>
    <n v="-4871680"/>
  </r>
  <r>
    <x v="29"/>
    <x v="0"/>
    <n v="120"/>
    <n v="0"/>
    <n v="0"/>
  </r>
  <r>
    <x v="29"/>
    <x v="0"/>
    <n v="130"/>
    <n v="0"/>
    <n v="0"/>
  </r>
  <r>
    <x v="29"/>
    <x v="0"/>
    <n v="140"/>
    <n v="10601080"/>
    <n v="-10601080"/>
  </r>
  <r>
    <x v="29"/>
    <x v="0"/>
    <n v="141"/>
    <n v="56160"/>
    <n v="-56160"/>
  </r>
  <r>
    <x v="29"/>
    <x v="0"/>
    <n v="150"/>
    <n v="0"/>
    <n v="0"/>
  </r>
  <r>
    <x v="29"/>
    <x v="0"/>
    <n v="200"/>
    <n v="78005"/>
    <n v="-78005"/>
  </r>
  <r>
    <x v="29"/>
    <x v="0"/>
    <n v="210"/>
    <n v="68893"/>
    <n v="-68893"/>
  </r>
  <r>
    <x v="29"/>
    <x v="0"/>
    <n v="220"/>
    <n v="0"/>
    <n v="0"/>
  </r>
  <r>
    <x v="29"/>
    <x v="0"/>
    <n v="230"/>
    <n v="0"/>
    <n v="0"/>
  </r>
  <r>
    <x v="29"/>
    <x v="0"/>
    <n v="270"/>
    <n v="0"/>
    <n v="0"/>
  </r>
  <r>
    <x v="29"/>
    <x v="1"/>
    <n v="1"/>
    <n v="2427456"/>
    <n v="2427456"/>
  </r>
  <r>
    <x v="29"/>
    <x v="1"/>
    <n v="10"/>
    <n v="6829920"/>
    <n v="6829920"/>
  </r>
  <r>
    <x v="29"/>
    <x v="1"/>
    <n v="20"/>
    <n v="334624"/>
    <n v="334624"/>
  </r>
  <r>
    <x v="29"/>
    <x v="1"/>
    <n v="50"/>
    <n v="0"/>
    <n v="0"/>
  </r>
  <r>
    <x v="29"/>
    <x v="1"/>
    <n v="110"/>
    <n v="2211360"/>
    <n v="-2211360"/>
  </r>
  <r>
    <x v="29"/>
    <x v="1"/>
    <n v="120"/>
    <n v="119060"/>
    <n v="-119060"/>
  </r>
  <r>
    <x v="29"/>
    <x v="1"/>
    <n v="130"/>
    <n v="42280"/>
    <n v="-42280"/>
  </r>
  <r>
    <x v="29"/>
    <x v="1"/>
    <n v="140"/>
    <n v="702620"/>
    <n v="-702620"/>
  </r>
  <r>
    <x v="29"/>
    <x v="1"/>
    <n v="141"/>
    <n v="4623880"/>
    <n v="-4623880"/>
  </r>
  <r>
    <x v="29"/>
    <x v="1"/>
    <n v="150"/>
    <n v="0"/>
    <n v="0"/>
  </r>
  <r>
    <x v="29"/>
    <x v="1"/>
    <n v="160"/>
    <n v="0"/>
    <n v="0"/>
  </r>
  <r>
    <x v="29"/>
    <x v="1"/>
    <n v="200"/>
    <n v="34094"/>
    <n v="-34094"/>
  </r>
  <r>
    <x v="29"/>
    <x v="1"/>
    <n v="210"/>
    <n v="0"/>
    <n v="0"/>
  </r>
  <r>
    <x v="29"/>
    <x v="1"/>
    <n v="220"/>
    <n v="0"/>
    <n v="0"/>
  </r>
  <r>
    <x v="29"/>
    <x v="1"/>
    <n v="230"/>
    <n v="119053"/>
    <n v="-119053"/>
  </r>
  <r>
    <x v="29"/>
    <x v="1"/>
    <n v="260"/>
    <n v="0"/>
    <n v="0"/>
  </r>
  <r>
    <x v="29"/>
    <x v="1"/>
    <n v="270"/>
    <n v="0"/>
    <n v="0"/>
  </r>
  <r>
    <x v="29"/>
    <x v="1"/>
    <n v="280"/>
    <n v="0"/>
    <n v="0"/>
  </r>
  <r>
    <x v="29"/>
    <x v="2"/>
    <n v="1"/>
    <n v="6577779"/>
    <n v="6577779"/>
  </r>
  <r>
    <x v="29"/>
    <x v="2"/>
    <n v="10"/>
    <n v="15000600"/>
    <n v="15000600"/>
  </r>
  <r>
    <x v="29"/>
    <x v="2"/>
    <n v="20"/>
    <n v="318901"/>
    <n v="318901"/>
  </r>
  <r>
    <x v="29"/>
    <x v="2"/>
    <n v="50"/>
    <n v="0"/>
    <n v="0"/>
  </r>
  <r>
    <x v="29"/>
    <x v="2"/>
    <n v="110"/>
    <n v="11409940"/>
    <n v="-11409940"/>
  </r>
  <r>
    <x v="29"/>
    <x v="2"/>
    <n v="120"/>
    <n v="0"/>
    <n v="0"/>
  </r>
  <r>
    <x v="29"/>
    <x v="2"/>
    <n v="130"/>
    <n v="0"/>
    <n v="0"/>
  </r>
  <r>
    <x v="29"/>
    <x v="2"/>
    <n v="140"/>
    <n v="5094180"/>
    <n v="-5094180"/>
  </r>
  <r>
    <x v="29"/>
    <x v="2"/>
    <n v="141"/>
    <n v="112940"/>
    <n v="-112940"/>
  </r>
  <r>
    <x v="29"/>
    <x v="2"/>
    <n v="200"/>
    <n v="75003"/>
    <n v="-75003"/>
  </r>
  <r>
    <x v="29"/>
    <x v="2"/>
    <n v="210"/>
    <n v="71816"/>
    <n v="-71816"/>
  </r>
  <r>
    <x v="29"/>
    <x v="2"/>
    <n v="220"/>
    <n v="0"/>
    <n v="0"/>
  </r>
  <r>
    <x v="29"/>
    <x v="2"/>
    <n v="230"/>
    <n v="47616"/>
    <n v="-47616"/>
  </r>
  <r>
    <x v="29"/>
    <x v="2"/>
    <n v="270"/>
    <n v="0"/>
    <n v="0"/>
  </r>
  <r>
    <x v="29"/>
    <x v="3"/>
    <n v="1"/>
    <n v="1172274"/>
    <n v="1172274"/>
  </r>
  <r>
    <x v="29"/>
    <x v="3"/>
    <n v="10"/>
    <n v="3034540"/>
    <n v="3034540"/>
  </r>
  <r>
    <x v="29"/>
    <x v="3"/>
    <n v="20"/>
    <n v="0"/>
    <n v="0"/>
  </r>
  <r>
    <x v="29"/>
    <x v="3"/>
    <n v="50"/>
    <n v="0"/>
    <n v="0"/>
  </r>
  <r>
    <x v="29"/>
    <x v="3"/>
    <n v="110"/>
    <n v="2612820"/>
    <n v="-2612820"/>
  </r>
  <r>
    <x v="29"/>
    <x v="3"/>
    <n v="120"/>
    <n v="76840"/>
    <n v="-76840"/>
  </r>
  <r>
    <x v="29"/>
    <x v="3"/>
    <n v="130"/>
    <n v="4460"/>
    <n v="-4460"/>
  </r>
  <r>
    <x v="29"/>
    <x v="3"/>
    <n v="140"/>
    <n v="0"/>
    <n v="0"/>
  </r>
  <r>
    <x v="29"/>
    <x v="3"/>
    <n v="141"/>
    <n v="657660"/>
    <n v="-657660"/>
  </r>
  <r>
    <x v="29"/>
    <x v="3"/>
    <n v="150"/>
    <n v="0"/>
    <n v="0"/>
  </r>
  <r>
    <x v="29"/>
    <x v="3"/>
    <n v="160"/>
    <n v="0"/>
    <n v="0"/>
  </r>
  <r>
    <x v="29"/>
    <x v="3"/>
    <n v="200"/>
    <n v="26165"/>
    <n v="-26165"/>
  </r>
  <r>
    <x v="29"/>
    <x v="3"/>
    <n v="210"/>
    <n v="6362"/>
    <n v="-6362"/>
  </r>
  <r>
    <x v="29"/>
    <x v="3"/>
    <n v="220"/>
    <n v="0"/>
    <n v="0"/>
  </r>
  <r>
    <x v="29"/>
    <x v="3"/>
    <n v="230"/>
    <n v="1248"/>
    <n v="-1248"/>
  </r>
  <r>
    <x v="29"/>
    <x v="3"/>
    <n v="260"/>
    <n v="0"/>
    <n v="0"/>
  </r>
  <r>
    <x v="29"/>
    <x v="3"/>
    <n v="270"/>
    <n v="0"/>
    <n v="0"/>
  </r>
  <r>
    <x v="30"/>
    <x v="0"/>
    <n v="1"/>
    <n v="22876236"/>
    <n v="22876236"/>
  </r>
  <r>
    <x v="30"/>
    <x v="0"/>
    <n v="10"/>
    <n v="0"/>
    <n v="0"/>
  </r>
  <r>
    <x v="30"/>
    <x v="0"/>
    <n v="50"/>
    <n v="0"/>
    <n v="0"/>
  </r>
  <r>
    <x v="30"/>
    <x v="0"/>
    <n v="60"/>
    <n v="0"/>
    <n v="0"/>
  </r>
  <r>
    <x v="30"/>
    <x v="0"/>
    <n v="70"/>
    <n v="0"/>
    <n v="0"/>
  </r>
  <r>
    <x v="30"/>
    <x v="0"/>
    <n v="110"/>
    <n v="0"/>
    <n v="0"/>
  </r>
  <r>
    <x v="30"/>
    <x v="0"/>
    <n v="120"/>
    <n v="0"/>
    <n v="0"/>
  </r>
  <r>
    <x v="30"/>
    <x v="0"/>
    <n v="130"/>
    <n v="0"/>
    <n v="0"/>
  </r>
  <r>
    <x v="30"/>
    <x v="0"/>
    <n v="140"/>
    <n v="555280"/>
    <n v="-555280"/>
  </r>
  <r>
    <x v="30"/>
    <x v="0"/>
    <n v="200"/>
    <n v="0"/>
    <n v="0"/>
  </r>
  <r>
    <x v="30"/>
    <x v="0"/>
    <n v="210"/>
    <n v="0"/>
    <n v="0"/>
  </r>
  <r>
    <x v="30"/>
    <x v="0"/>
    <n v="230"/>
    <n v="0"/>
    <n v="0"/>
  </r>
  <r>
    <x v="30"/>
    <x v="0"/>
    <n v="270"/>
    <n v="0"/>
    <n v="0"/>
  </r>
  <r>
    <x v="30"/>
    <x v="1"/>
    <n v="1"/>
    <n v="0"/>
    <n v="0"/>
  </r>
  <r>
    <x v="30"/>
    <x v="1"/>
    <n v="10"/>
    <n v="0"/>
    <n v="0"/>
  </r>
  <r>
    <x v="30"/>
    <x v="1"/>
    <n v="20"/>
    <n v="0"/>
    <n v="0"/>
  </r>
  <r>
    <x v="30"/>
    <x v="1"/>
    <n v="50"/>
    <n v="0"/>
    <n v="0"/>
  </r>
  <r>
    <x v="30"/>
    <x v="1"/>
    <n v="70"/>
    <n v="0"/>
    <n v="0"/>
  </r>
  <r>
    <x v="30"/>
    <x v="1"/>
    <n v="110"/>
    <n v="0"/>
    <n v="0"/>
  </r>
  <r>
    <x v="30"/>
    <x v="1"/>
    <n v="120"/>
    <n v="0"/>
    <n v="0"/>
  </r>
  <r>
    <x v="30"/>
    <x v="1"/>
    <n v="130"/>
    <n v="0"/>
    <n v="0"/>
  </r>
  <r>
    <x v="30"/>
    <x v="1"/>
    <n v="140"/>
    <n v="0"/>
    <n v="0"/>
  </r>
  <r>
    <x v="30"/>
    <x v="1"/>
    <n v="200"/>
    <n v="0"/>
    <n v="0"/>
  </r>
  <r>
    <x v="30"/>
    <x v="1"/>
    <n v="210"/>
    <n v="0"/>
    <n v="0"/>
  </r>
  <r>
    <x v="30"/>
    <x v="1"/>
    <n v="220"/>
    <n v="0"/>
    <n v="0"/>
  </r>
  <r>
    <x v="30"/>
    <x v="1"/>
    <n v="230"/>
    <n v="0"/>
    <n v="0"/>
  </r>
  <r>
    <x v="30"/>
    <x v="1"/>
    <n v="260"/>
    <n v="0"/>
    <n v="0"/>
  </r>
  <r>
    <x v="30"/>
    <x v="1"/>
    <n v="270"/>
    <n v="0"/>
    <n v="0"/>
  </r>
  <r>
    <x v="30"/>
    <x v="2"/>
    <n v="1"/>
    <n v="0"/>
    <n v="0"/>
  </r>
  <r>
    <x v="30"/>
    <x v="2"/>
    <n v="10"/>
    <n v="0"/>
    <n v="0"/>
  </r>
  <r>
    <x v="30"/>
    <x v="2"/>
    <n v="20"/>
    <n v="0"/>
    <n v="0"/>
  </r>
  <r>
    <x v="30"/>
    <x v="2"/>
    <n v="70"/>
    <n v="0"/>
    <n v="0"/>
  </r>
  <r>
    <x v="30"/>
    <x v="2"/>
    <n v="110"/>
    <n v="0"/>
    <n v="0"/>
  </r>
  <r>
    <x v="30"/>
    <x v="2"/>
    <n v="120"/>
    <n v="0"/>
    <n v="0"/>
  </r>
  <r>
    <x v="30"/>
    <x v="2"/>
    <n v="140"/>
    <n v="0"/>
    <n v="0"/>
  </r>
  <r>
    <x v="30"/>
    <x v="2"/>
    <n v="200"/>
    <n v="0"/>
    <n v="0"/>
  </r>
  <r>
    <x v="30"/>
    <x v="2"/>
    <n v="210"/>
    <n v="0"/>
    <n v="0"/>
  </r>
  <r>
    <x v="30"/>
    <x v="2"/>
    <n v="220"/>
    <n v="0"/>
    <n v="0"/>
  </r>
  <r>
    <x v="30"/>
    <x v="2"/>
    <n v="230"/>
    <n v="0"/>
    <n v="0"/>
  </r>
  <r>
    <x v="30"/>
    <x v="2"/>
    <n v="270"/>
    <n v="0"/>
    <n v="0"/>
  </r>
  <r>
    <x v="30"/>
    <x v="3"/>
    <n v="1"/>
    <n v="0"/>
    <n v="0"/>
  </r>
  <r>
    <x v="30"/>
    <x v="3"/>
    <n v="10"/>
    <n v="0"/>
    <n v="0"/>
  </r>
  <r>
    <x v="30"/>
    <x v="3"/>
    <n v="20"/>
    <n v="0"/>
    <n v="0"/>
  </r>
  <r>
    <x v="30"/>
    <x v="3"/>
    <n v="50"/>
    <n v="0"/>
    <n v="0"/>
  </r>
  <r>
    <x v="30"/>
    <x v="3"/>
    <n v="110"/>
    <n v="0"/>
    <n v="0"/>
  </r>
  <r>
    <x v="30"/>
    <x v="3"/>
    <n v="120"/>
    <n v="0"/>
    <n v="0"/>
  </r>
  <r>
    <x v="30"/>
    <x v="3"/>
    <n v="140"/>
    <n v="0"/>
    <n v="0"/>
  </r>
  <r>
    <x v="30"/>
    <x v="3"/>
    <n v="200"/>
    <n v="0"/>
    <n v="0"/>
  </r>
  <r>
    <x v="30"/>
    <x v="3"/>
    <n v="220"/>
    <n v="0"/>
    <n v="0"/>
  </r>
  <r>
    <x v="30"/>
    <x v="3"/>
    <n v="230"/>
    <n v="0"/>
    <n v="0"/>
  </r>
  <r>
    <x v="30"/>
    <x v="3"/>
    <n v="270"/>
    <n v="0"/>
    <n v="0"/>
  </r>
  <r>
    <x v="31"/>
    <x v="0"/>
    <n v="1"/>
    <n v="9175979"/>
    <n v="9175979"/>
  </r>
  <r>
    <x v="31"/>
    <x v="0"/>
    <n v="10"/>
    <n v="12066340"/>
    <n v="12066340"/>
  </r>
  <r>
    <x v="31"/>
    <x v="0"/>
    <n v="20"/>
    <n v="0"/>
    <n v="0"/>
  </r>
  <r>
    <x v="31"/>
    <x v="0"/>
    <n v="50"/>
    <n v="0"/>
    <n v="0"/>
  </r>
  <r>
    <x v="31"/>
    <x v="0"/>
    <n v="60"/>
    <n v="344180"/>
    <n v="344180"/>
  </r>
  <r>
    <x v="31"/>
    <x v="0"/>
    <n v="70"/>
    <n v="0"/>
    <n v="0"/>
  </r>
  <r>
    <x v="31"/>
    <x v="0"/>
    <n v="110"/>
    <n v="5558960"/>
    <n v="-5558960"/>
  </r>
  <r>
    <x v="31"/>
    <x v="0"/>
    <n v="120"/>
    <n v="2780"/>
    <n v="-2780"/>
  </r>
  <r>
    <x v="31"/>
    <x v="0"/>
    <n v="130"/>
    <n v="0"/>
    <n v="0"/>
  </r>
  <r>
    <x v="31"/>
    <x v="0"/>
    <n v="140"/>
    <n v="4349780"/>
    <n v="-4349780"/>
  </r>
  <r>
    <x v="31"/>
    <x v="0"/>
    <n v="141"/>
    <n v="3303600"/>
    <n v="-3303600"/>
  </r>
  <r>
    <x v="31"/>
    <x v="0"/>
    <n v="200"/>
    <n v="59906"/>
    <n v="-59906"/>
  </r>
  <r>
    <x v="31"/>
    <x v="0"/>
    <n v="210"/>
    <n v="84302"/>
    <n v="-84302"/>
  </r>
  <r>
    <x v="31"/>
    <x v="0"/>
    <n v="230"/>
    <n v="0"/>
    <n v="0"/>
  </r>
  <r>
    <x v="31"/>
    <x v="0"/>
    <n v="270"/>
    <n v="0"/>
    <n v="0"/>
  </r>
  <r>
    <x v="31"/>
    <x v="1"/>
    <n v="1"/>
    <n v="1514118"/>
    <n v="1514118"/>
  </r>
  <r>
    <x v="31"/>
    <x v="1"/>
    <n v="10"/>
    <n v="7823640"/>
    <n v="7823640"/>
  </r>
  <r>
    <x v="31"/>
    <x v="1"/>
    <n v="20"/>
    <n v="0"/>
    <n v="0"/>
  </r>
  <r>
    <x v="31"/>
    <x v="1"/>
    <n v="50"/>
    <n v="197180"/>
    <n v="197180"/>
  </r>
  <r>
    <x v="31"/>
    <x v="1"/>
    <n v="60"/>
    <n v="0"/>
    <n v="0"/>
  </r>
  <r>
    <x v="31"/>
    <x v="1"/>
    <n v="70"/>
    <n v="0"/>
    <n v="0"/>
  </r>
  <r>
    <x v="31"/>
    <x v="1"/>
    <n v="110"/>
    <n v="0"/>
    <n v="0"/>
  </r>
  <r>
    <x v="31"/>
    <x v="1"/>
    <n v="120"/>
    <n v="11220"/>
    <n v="-11220"/>
  </r>
  <r>
    <x v="31"/>
    <x v="1"/>
    <n v="130"/>
    <n v="0"/>
    <n v="0"/>
  </r>
  <r>
    <x v="31"/>
    <x v="1"/>
    <n v="140"/>
    <n v="219300"/>
    <n v="-219300"/>
  </r>
  <r>
    <x v="31"/>
    <x v="1"/>
    <n v="141"/>
    <n v="4758520"/>
    <n v="-4758520"/>
  </r>
  <r>
    <x v="31"/>
    <x v="1"/>
    <n v="200"/>
    <n v="39118"/>
    <n v="-39118"/>
  </r>
  <r>
    <x v="31"/>
    <x v="1"/>
    <n v="220"/>
    <n v="185858"/>
    <n v="-185858"/>
  </r>
  <r>
    <x v="31"/>
    <x v="1"/>
    <n v="230"/>
    <n v="116525"/>
    <n v="-116525"/>
  </r>
  <r>
    <x v="31"/>
    <x v="1"/>
    <n v="270"/>
    <n v="0"/>
    <n v="0"/>
  </r>
  <r>
    <x v="31"/>
    <x v="2"/>
    <n v="1"/>
    <n v="8006648"/>
    <n v="8006648"/>
  </r>
  <r>
    <x v="31"/>
    <x v="2"/>
    <n v="10"/>
    <n v="12490060"/>
    <n v="12490060"/>
  </r>
  <r>
    <x v="31"/>
    <x v="2"/>
    <n v="20"/>
    <n v="0"/>
    <n v="0"/>
  </r>
  <r>
    <x v="31"/>
    <x v="2"/>
    <n v="50"/>
    <n v="1429820"/>
    <n v="1429820"/>
  </r>
  <r>
    <x v="31"/>
    <x v="2"/>
    <n v="60"/>
    <n v="0"/>
    <n v="0"/>
  </r>
  <r>
    <x v="31"/>
    <x v="2"/>
    <n v="110"/>
    <n v="8212920"/>
    <n v="-8212920"/>
  </r>
  <r>
    <x v="31"/>
    <x v="2"/>
    <n v="120"/>
    <n v="0"/>
    <n v="0"/>
  </r>
  <r>
    <x v="31"/>
    <x v="2"/>
    <n v="130"/>
    <n v="0"/>
    <n v="0"/>
  </r>
  <r>
    <x v="31"/>
    <x v="2"/>
    <n v="140"/>
    <n v="0"/>
    <n v="0"/>
  </r>
  <r>
    <x v="31"/>
    <x v="2"/>
    <n v="200"/>
    <n v="61666"/>
    <n v="-61666"/>
  </r>
  <r>
    <x v="31"/>
    <x v="2"/>
    <n v="210"/>
    <n v="61807"/>
    <n v="-61807"/>
  </r>
  <r>
    <x v="31"/>
    <x v="2"/>
    <n v="220"/>
    <n v="0"/>
    <n v="0"/>
  </r>
  <r>
    <x v="31"/>
    <x v="2"/>
    <n v="230"/>
    <n v="43227"/>
    <n v="-43227"/>
  </r>
  <r>
    <x v="31"/>
    <x v="2"/>
    <n v="270"/>
    <n v="0"/>
    <n v="0"/>
  </r>
  <r>
    <x v="31"/>
    <x v="3"/>
    <n v="1"/>
    <n v="2907185"/>
    <n v="2907185"/>
  </r>
  <r>
    <x v="31"/>
    <x v="3"/>
    <n v="10"/>
    <n v="5733620"/>
    <n v="5733620"/>
  </r>
  <r>
    <x v="31"/>
    <x v="3"/>
    <n v="20"/>
    <n v="0"/>
    <n v="0"/>
  </r>
  <r>
    <x v="31"/>
    <x v="3"/>
    <n v="50"/>
    <n v="0"/>
    <n v="0"/>
  </r>
  <r>
    <x v="31"/>
    <x v="3"/>
    <n v="60"/>
    <n v="0"/>
    <n v="0"/>
  </r>
  <r>
    <x v="31"/>
    <x v="3"/>
    <n v="110"/>
    <n v="784260"/>
    <n v="-784260"/>
  </r>
  <r>
    <x v="31"/>
    <x v="3"/>
    <n v="120"/>
    <n v="139120"/>
    <n v="-139120"/>
  </r>
  <r>
    <x v="31"/>
    <x v="3"/>
    <n v="130"/>
    <n v="0"/>
    <n v="0"/>
  </r>
  <r>
    <x v="31"/>
    <x v="3"/>
    <n v="140"/>
    <n v="0"/>
    <n v="0"/>
  </r>
  <r>
    <x v="31"/>
    <x v="3"/>
    <n v="141"/>
    <n v="6630660"/>
    <n v="-6630660"/>
  </r>
  <r>
    <x v="31"/>
    <x v="3"/>
    <n v="200"/>
    <n v="48252"/>
    <n v="-48252"/>
  </r>
  <r>
    <x v="31"/>
    <x v="3"/>
    <n v="210"/>
    <n v="6756"/>
    <n v="-6756"/>
  </r>
  <r>
    <x v="31"/>
    <x v="3"/>
    <n v="220"/>
    <n v="0"/>
    <n v="0"/>
  </r>
  <r>
    <x v="31"/>
    <x v="3"/>
    <n v="230"/>
    <n v="1942"/>
    <n v="-1942"/>
  </r>
  <r>
    <x v="31"/>
    <x v="3"/>
    <n v="270"/>
    <n v="0"/>
    <n v="0"/>
  </r>
  <r>
    <x v="31"/>
    <x v="4"/>
    <n v="1"/>
    <n v="0"/>
    <n v="0"/>
  </r>
  <r>
    <x v="31"/>
    <x v="4"/>
    <n v="10"/>
    <n v="192540"/>
    <n v="192540"/>
  </r>
  <r>
    <x v="31"/>
    <x v="4"/>
    <n v="20"/>
    <n v="0"/>
    <n v="0"/>
  </r>
  <r>
    <x v="31"/>
    <x v="4"/>
    <n v="50"/>
    <n v="0"/>
    <n v="0"/>
  </r>
  <r>
    <x v="31"/>
    <x v="4"/>
    <n v="70"/>
    <n v="0"/>
    <n v="0"/>
  </r>
  <r>
    <x v="31"/>
    <x v="4"/>
    <n v="110"/>
    <n v="150100"/>
    <n v="-150100"/>
  </r>
  <r>
    <x v="31"/>
    <x v="4"/>
    <n v="140"/>
    <n v="24240"/>
    <n v="-24240"/>
  </r>
  <r>
    <x v="31"/>
    <x v="4"/>
    <n v="210"/>
    <n v="10718"/>
    <n v="-10718"/>
  </r>
  <r>
    <x v="31"/>
    <x v="4"/>
    <n v="220"/>
    <n v="0"/>
    <n v="0"/>
  </r>
  <r>
    <x v="31"/>
    <x v="4"/>
    <n v="230"/>
    <n v="0"/>
    <n v="0"/>
  </r>
  <r>
    <x v="32"/>
    <x v="0"/>
    <n v="1"/>
    <n v="0"/>
    <n v="0"/>
  </r>
  <r>
    <x v="32"/>
    <x v="0"/>
    <n v="10"/>
    <n v="12734760"/>
    <n v="12734760"/>
  </r>
  <r>
    <x v="32"/>
    <x v="0"/>
    <n v="20"/>
    <n v="0"/>
    <n v="0"/>
  </r>
  <r>
    <x v="32"/>
    <x v="0"/>
    <n v="50"/>
    <n v="2083040"/>
    <n v="2083040"/>
  </r>
  <r>
    <x v="32"/>
    <x v="0"/>
    <n v="70"/>
    <n v="-269854"/>
    <n v="-269854"/>
  </r>
  <r>
    <x v="32"/>
    <x v="0"/>
    <n v="110"/>
    <n v="4521220"/>
    <n v="-4521220"/>
  </r>
  <r>
    <x v="32"/>
    <x v="0"/>
    <n v="120"/>
    <n v="0"/>
    <n v="0"/>
  </r>
  <r>
    <x v="32"/>
    <x v="0"/>
    <n v="130"/>
    <n v="0"/>
    <n v="0"/>
  </r>
  <r>
    <x v="32"/>
    <x v="0"/>
    <n v="140"/>
    <n v="6544620"/>
    <n v="-6544620"/>
  </r>
  <r>
    <x v="32"/>
    <x v="0"/>
    <n v="141"/>
    <n v="152320"/>
    <n v="-152320"/>
  </r>
  <r>
    <x v="32"/>
    <x v="0"/>
    <n v="200"/>
    <n v="63276"/>
    <n v="-63276"/>
  </r>
  <r>
    <x v="32"/>
    <x v="0"/>
    <n v="210"/>
    <n v="75539"/>
    <n v="-75539"/>
  </r>
  <r>
    <x v="32"/>
    <x v="0"/>
    <n v="220"/>
    <n v="0"/>
    <n v="0"/>
  </r>
  <r>
    <x v="32"/>
    <x v="0"/>
    <n v="230"/>
    <n v="0"/>
    <n v="0"/>
  </r>
  <r>
    <x v="32"/>
    <x v="0"/>
    <n v="270"/>
    <n v="0"/>
    <n v="0"/>
  </r>
  <r>
    <x v="32"/>
    <x v="1"/>
    <n v="1"/>
    <n v="1966954"/>
    <n v="1966954"/>
  </r>
  <r>
    <x v="32"/>
    <x v="1"/>
    <n v="10"/>
    <n v="1303660"/>
    <n v="1303660"/>
  </r>
  <r>
    <x v="32"/>
    <x v="1"/>
    <n v="20"/>
    <n v="0"/>
    <n v="0"/>
  </r>
  <r>
    <x v="32"/>
    <x v="1"/>
    <n v="50"/>
    <n v="0"/>
    <n v="0"/>
  </r>
  <r>
    <x v="32"/>
    <x v="1"/>
    <n v="51"/>
    <n v="0"/>
    <n v="0"/>
  </r>
  <r>
    <x v="32"/>
    <x v="1"/>
    <n v="110"/>
    <n v="0"/>
    <n v="0"/>
  </r>
  <r>
    <x v="32"/>
    <x v="1"/>
    <n v="120"/>
    <n v="0"/>
    <n v="0"/>
  </r>
  <r>
    <x v="32"/>
    <x v="1"/>
    <n v="130"/>
    <n v="0"/>
    <n v="0"/>
  </r>
  <r>
    <x v="32"/>
    <x v="1"/>
    <n v="140"/>
    <n v="196500"/>
    <n v="-196500"/>
  </r>
  <r>
    <x v="32"/>
    <x v="1"/>
    <n v="141"/>
    <n v="2977520"/>
    <n v="-2977520"/>
  </r>
  <r>
    <x v="32"/>
    <x v="1"/>
    <n v="150"/>
    <n v="0"/>
    <n v="0"/>
  </r>
  <r>
    <x v="32"/>
    <x v="1"/>
    <n v="160"/>
    <n v="0"/>
    <n v="0"/>
  </r>
  <r>
    <x v="32"/>
    <x v="1"/>
    <n v="200"/>
    <n v="6430"/>
    <n v="-6430"/>
  </r>
  <r>
    <x v="32"/>
    <x v="1"/>
    <n v="210"/>
    <n v="0"/>
    <n v="0"/>
  </r>
  <r>
    <x v="32"/>
    <x v="1"/>
    <n v="230"/>
    <n v="13422"/>
    <n v="-13422"/>
  </r>
  <r>
    <x v="32"/>
    <x v="1"/>
    <n v="260"/>
    <n v="0"/>
    <n v="0"/>
  </r>
  <r>
    <x v="32"/>
    <x v="1"/>
    <n v="270"/>
    <n v="0"/>
    <n v="0"/>
  </r>
  <r>
    <x v="32"/>
    <x v="2"/>
    <n v="1"/>
    <n v="1904249"/>
    <n v="1904249"/>
  </r>
  <r>
    <x v="32"/>
    <x v="2"/>
    <n v="10"/>
    <n v="1831620"/>
    <n v="1831620"/>
  </r>
  <r>
    <x v="32"/>
    <x v="2"/>
    <n v="20"/>
    <n v="24859"/>
    <n v="24859"/>
  </r>
  <r>
    <x v="32"/>
    <x v="2"/>
    <n v="50"/>
    <n v="0"/>
    <n v="0"/>
  </r>
  <r>
    <x v="32"/>
    <x v="2"/>
    <n v="110"/>
    <n v="1647500"/>
    <n v="-1647500"/>
  </r>
  <r>
    <x v="32"/>
    <x v="2"/>
    <n v="120"/>
    <n v="0"/>
    <n v="0"/>
  </r>
  <r>
    <x v="32"/>
    <x v="2"/>
    <n v="140"/>
    <n v="16520"/>
    <n v="-16520"/>
  </r>
  <r>
    <x v="32"/>
    <x v="2"/>
    <n v="141"/>
    <n v="267760"/>
    <n v="-267760"/>
  </r>
  <r>
    <x v="32"/>
    <x v="2"/>
    <n v="200"/>
    <n v="9144"/>
    <n v="-9144"/>
  </r>
  <r>
    <x v="32"/>
    <x v="2"/>
    <n v="210"/>
    <n v="1684"/>
    <n v="-1684"/>
  </r>
  <r>
    <x v="32"/>
    <x v="2"/>
    <n v="220"/>
    <n v="0"/>
    <n v="0"/>
  </r>
  <r>
    <x v="32"/>
    <x v="2"/>
    <n v="230"/>
    <n v="723"/>
    <n v="-723"/>
  </r>
  <r>
    <x v="32"/>
    <x v="2"/>
    <n v="270"/>
    <n v="0"/>
    <n v="0"/>
  </r>
  <r>
    <x v="32"/>
    <x v="3"/>
    <n v="1"/>
    <n v="0"/>
    <n v="0"/>
  </r>
  <r>
    <x v="32"/>
    <x v="3"/>
    <n v="10"/>
    <n v="0"/>
    <n v="0"/>
  </r>
  <r>
    <x v="32"/>
    <x v="3"/>
    <n v="20"/>
    <n v="0"/>
    <n v="0"/>
  </r>
  <r>
    <x v="32"/>
    <x v="3"/>
    <n v="50"/>
    <n v="0"/>
    <n v="0"/>
  </r>
  <r>
    <x v="32"/>
    <x v="3"/>
    <n v="110"/>
    <n v="0"/>
    <n v="0"/>
  </r>
  <r>
    <x v="32"/>
    <x v="3"/>
    <n v="120"/>
    <n v="0"/>
    <n v="0"/>
  </r>
  <r>
    <x v="32"/>
    <x v="3"/>
    <n v="130"/>
    <n v="0"/>
    <n v="0"/>
  </r>
  <r>
    <x v="32"/>
    <x v="3"/>
    <n v="140"/>
    <n v="0"/>
    <n v="0"/>
  </r>
  <r>
    <x v="32"/>
    <x v="3"/>
    <n v="150"/>
    <n v="0"/>
    <n v="0"/>
  </r>
  <r>
    <x v="32"/>
    <x v="3"/>
    <n v="200"/>
    <n v="0"/>
    <n v="0"/>
  </r>
  <r>
    <x v="32"/>
    <x v="3"/>
    <n v="220"/>
    <n v="0"/>
    <n v="0"/>
  </r>
  <r>
    <x v="32"/>
    <x v="3"/>
    <n v="230"/>
    <n v="0"/>
    <n v="0"/>
  </r>
  <r>
    <x v="32"/>
    <x v="4"/>
    <n v="1"/>
    <n v="-2117"/>
    <n v="-2117"/>
  </r>
  <r>
    <x v="32"/>
    <x v="4"/>
    <n v="10"/>
    <n v="0"/>
    <n v="0"/>
  </r>
  <r>
    <x v="32"/>
    <x v="4"/>
    <n v="20"/>
    <n v="13237"/>
    <n v="13237"/>
  </r>
  <r>
    <x v="32"/>
    <x v="4"/>
    <n v="50"/>
    <n v="0"/>
    <n v="0"/>
  </r>
  <r>
    <x v="32"/>
    <x v="4"/>
    <n v="70"/>
    <n v="0"/>
    <n v="0"/>
  </r>
  <r>
    <x v="32"/>
    <x v="4"/>
    <n v="100"/>
    <n v="0"/>
    <n v="0"/>
  </r>
  <r>
    <x v="32"/>
    <x v="4"/>
    <n v="110"/>
    <n v="0"/>
    <n v="0"/>
  </r>
  <r>
    <x v="32"/>
    <x v="4"/>
    <n v="140"/>
    <n v="11120"/>
    <n v="-11120"/>
  </r>
  <r>
    <x v="32"/>
    <x v="4"/>
    <n v="210"/>
    <n v="0"/>
    <n v="0"/>
  </r>
  <r>
    <x v="33"/>
    <x v="0"/>
    <n v="1"/>
    <n v="0"/>
    <n v="0"/>
  </r>
  <r>
    <x v="33"/>
    <x v="0"/>
    <n v="10"/>
    <n v="0"/>
    <n v="0"/>
  </r>
  <r>
    <x v="33"/>
    <x v="0"/>
    <n v="20"/>
    <n v="0"/>
    <n v="0"/>
  </r>
  <r>
    <x v="33"/>
    <x v="0"/>
    <n v="50"/>
    <n v="0"/>
    <n v="0"/>
  </r>
  <r>
    <x v="33"/>
    <x v="0"/>
    <n v="110"/>
    <n v="0"/>
    <n v="0"/>
  </r>
  <r>
    <x v="33"/>
    <x v="0"/>
    <n v="140"/>
    <n v="0"/>
    <n v="0"/>
  </r>
  <r>
    <x v="33"/>
    <x v="0"/>
    <n v="200"/>
    <n v="0"/>
    <n v="0"/>
  </r>
  <r>
    <x v="33"/>
    <x v="0"/>
    <n v="210"/>
    <n v="0"/>
    <n v="0"/>
  </r>
  <r>
    <x v="33"/>
    <x v="0"/>
    <n v="220"/>
    <n v="0"/>
    <n v="0"/>
  </r>
  <r>
    <x v="33"/>
    <x v="0"/>
    <n v="230"/>
    <n v="0"/>
    <n v="0"/>
  </r>
  <r>
    <x v="33"/>
    <x v="0"/>
    <n v="270"/>
    <n v="0"/>
    <n v="0"/>
  </r>
  <r>
    <x v="33"/>
    <x v="1"/>
    <n v="1"/>
    <n v="0"/>
    <n v="0"/>
  </r>
  <r>
    <x v="33"/>
    <x v="1"/>
    <n v="10"/>
    <n v="0"/>
    <n v="0"/>
  </r>
  <r>
    <x v="33"/>
    <x v="1"/>
    <n v="20"/>
    <n v="0"/>
    <n v="0"/>
  </r>
  <r>
    <x v="33"/>
    <x v="1"/>
    <n v="50"/>
    <n v="0"/>
    <n v="0"/>
  </r>
  <r>
    <x v="33"/>
    <x v="1"/>
    <n v="110"/>
    <n v="0"/>
    <n v="0"/>
  </r>
  <r>
    <x v="33"/>
    <x v="1"/>
    <n v="140"/>
    <n v="0"/>
    <n v="0"/>
  </r>
  <r>
    <x v="33"/>
    <x v="1"/>
    <n v="200"/>
    <n v="0"/>
    <n v="0"/>
  </r>
  <r>
    <x v="33"/>
    <x v="1"/>
    <n v="220"/>
    <n v="0"/>
    <n v="0"/>
  </r>
  <r>
    <x v="33"/>
    <x v="1"/>
    <n v="230"/>
    <n v="0"/>
    <n v="0"/>
  </r>
  <r>
    <x v="33"/>
    <x v="1"/>
    <n v="270"/>
    <n v="0"/>
    <n v="0"/>
  </r>
  <r>
    <x v="33"/>
    <x v="2"/>
    <n v="1"/>
    <n v="0"/>
    <n v="0"/>
  </r>
  <r>
    <x v="33"/>
    <x v="2"/>
    <n v="10"/>
    <n v="0"/>
    <n v="0"/>
  </r>
  <r>
    <x v="33"/>
    <x v="2"/>
    <n v="20"/>
    <n v="0"/>
    <n v="0"/>
  </r>
  <r>
    <x v="33"/>
    <x v="2"/>
    <n v="140"/>
    <n v="0"/>
    <n v="0"/>
  </r>
  <r>
    <x v="33"/>
    <x v="2"/>
    <n v="200"/>
    <n v="0"/>
    <n v="0"/>
  </r>
  <r>
    <x v="33"/>
    <x v="2"/>
    <n v="210"/>
    <n v="0"/>
    <n v="0"/>
  </r>
  <r>
    <x v="33"/>
    <x v="2"/>
    <n v="220"/>
    <n v="0"/>
    <n v="0"/>
  </r>
  <r>
    <x v="33"/>
    <x v="2"/>
    <n v="230"/>
    <n v="0"/>
    <n v="0"/>
  </r>
  <r>
    <x v="33"/>
    <x v="2"/>
    <n v="270"/>
    <n v="0"/>
    <n v="0"/>
  </r>
  <r>
    <x v="33"/>
    <x v="3"/>
    <n v="1"/>
    <n v="0"/>
    <n v="0"/>
  </r>
  <r>
    <x v="33"/>
    <x v="3"/>
    <n v="20"/>
    <n v="0"/>
    <n v="0"/>
  </r>
  <r>
    <x v="33"/>
    <x v="3"/>
    <n v="140"/>
    <n v="0"/>
    <n v="0"/>
  </r>
  <r>
    <x v="33"/>
    <x v="4"/>
    <n v="50"/>
    <n v="0"/>
    <n v="0"/>
  </r>
  <r>
    <x v="34"/>
    <x v="0"/>
    <n v="1"/>
    <n v="9331398"/>
    <n v="9331398"/>
  </r>
  <r>
    <x v="34"/>
    <x v="0"/>
    <n v="10"/>
    <n v="0"/>
    <n v="0"/>
  </r>
  <r>
    <x v="34"/>
    <x v="0"/>
    <n v="15"/>
    <n v="0"/>
    <n v="0"/>
  </r>
  <r>
    <x v="34"/>
    <x v="0"/>
    <n v="50"/>
    <n v="0"/>
    <n v="0"/>
  </r>
  <r>
    <x v="34"/>
    <x v="0"/>
    <n v="51"/>
    <n v="0"/>
    <n v="0"/>
  </r>
  <r>
    <x v="34"/>
    <x v="0"/>
    <n v="110"/>
    <n v="756400"/>
    <n v="-756400"/>
  </r>
  <r>
    <x v="34"/>
    <x v="0"/>
    <n v="120"/>
    <n v="0"/>
    <n v="0"/>
  </r>
  <r>
    <x v="34"/>
    <x v="0"/>
    <n v="130"/>
    <n v="0"/>
    <n v="0"/>
  </r>
  <r>
    <x v="34"/>
    <x v="0"/>
    <n v="140"/>
    <n v="795500"/>
    <n v="-795500"/>
  </r>
  <r>
    <x v="34"/>
    <x v="0"/>
    <n v="141"/>
    <n v="103160"/>
    <n v="-103160"/>
  </r>
  <r>
    <x v="34"/>
    <x v="0"/>
    <n v="200"/>
    <n v="0"/>
    <n v="0"/>
  </r>
  <r>
    <x v="34"/>
    <x v="0"/>
    <n v="210"/>
    <n v="0"/>
    <n v="0"/>
  </r>
  <r>
    <x v="34"/>
    <x v="0"/>
    <n v="230"/>
    <n v="0"/>
    <n v="0"/>
  </r>
  <r>
    <x v="34"/>
    <x v="0"/>
    <n v="270"/>
    <n v="0"/>
    <n v="0"/>
  </r>
  <r>
    <x v="34"/>
    <x v="1"/>
    <n v="1"/>
    <n v="0"/>
    <n v="0"/>
  </r>
  <r>
    <x v="34"/>
    <x v="1"/>
    <n v="10"/>
    <n v="0"/>
    <n v="0"/>
  </r>
  <r>
    <x v="34"/>
    <x v="1"/>
    <n v="20"/>
    <n v="0"/>
    <n v="0"/>
  </r>
  <r>
    <x v="34"/>
    <x v="1"/>
    <n v="50"/>
    <n v="0"/>
    <n v="0"/>
  </r>
  <r>
    <x v="34"/>
    <x v="1"/>
    <n v="70"/>
    <n v="0"/>
    <n v="0"/>
  </r>
  <r>
    <x v="34"/>
    <x v="1"/>
    <n v="110"/>
    <n v="0"/>
    <n v="0"/>
  </r>
  <r>
    <x v="34"/>
    <x v="1"/>
    <n v="140"/>
    <n v="0"/>
    <n v="0"/>
  </r>
  <r>
    <x v="34"/>
    <x v="1"/>
    <n v="200"/>
    <n v="0"/>
    <n v="0"/>
  </r>
  <r>
    <x v="34"/>
    <x v="1"/>
    <n v="210"/>
    <n v="0"/>
    <n v="0"/>
  </r>
  <r>
    <x v="34"/>
    <x v="1"/>
    <n v="220"/>
    <n v="0"/>
    <n v="0"/>
  </r>
  <r>
    <x v="34"/>
    <x v="1"/>
    <n v="230"/>
    <n v="0"/>
    <n v="0"/>
  </r>
  <r>
    <x v="34"/>
    <x v="1"/>
    <n v="270"/>
    <n v="0"/>
    <n v="0"/>
  </r>
  <r>
    <x v="34"/>
    <x v="2"/>
    <n v="1"/>
    <n v="0"/>
    <n v="0"/>
  </r>
  <r>
    <x v="34"/>
    <x v="2"/>
    <n v="10"/>
    <n v="0"/>
    <n v="0"/>
  </r>
  <r>
    <x v="34"/>
    <x v="2"/>
    <n v="20"/>
    <n v="0"/>
    <n v="0"/>
  </r>
  <r>
    <x v="34"/>
    <x v="2"/>
    <n v="50"/>
    <n v="0"/>
    <n v="0"/>
  </r>
  <r>
    <x v="34"/>
    <x v="2"/>
    <n v="70"/>
    <n v="0"/>
    <n v="0"/>
  </r>
  <r>
    <x v="34"/>
    <x v="2"/>
    <n v="110"/>
    <n v="0"/>
    <n v="0"/>
  </r>
  <r>
    <x v="34"/>
    <x v="2"/>
    <n v="140"/>
    <n v="0"/>
    <n v="0"/>
  </r>
  <r>
    <x v="34"/>
    <x v="2"/>
    <n v="200"/>
    <n v="0"/>
    <n v="0"/>
  </r>
  <r>
    <x v="34"/>
    <x v="2"/>
    <n v="210"/>
    <n v="0"/>
    <n v="0"/>
  </r>
  <r>
    <x v="34"/>
    <x v="2"/>
    <n v="220"/>
    <n v="0"/>
    <n v="0"/>
  </r>
  <r>
    <x v="34"/>
    <x v="2"/>
    <n v="230"/>
    <n v="0"/>
    <n v="0"/>
  </r>
  <r>
    <x v="34"/>
    <x v="3"/>
    <n v="10"/>
    <n v="0"/>
    <n v="0"/>
  </r>
  <r>
    <x v="34"/>
    <x v="4"/>
    <n v="1"/>
    <n v="0"/>
    <n v="0"/>
  </r>
  <r>
    <x v="34"/>
    <x v="4"/>
    <n v="10"/>
    <n v="0"/>
    <n v="0"/>
  </r>
  <r>
    <x v="34"/>
    <x v="4"/>
    <n v="20"/>
    <n v="0"/>
    <n v="0"/>
  </r>
  <r>
    <x v="34"/>
    <x v="4"/>
    <n v="50"/>
    <n v="0"/>
    <n v="0"/>
  </r>
  <r>
    <x v="34"/>
    <x v="4"/>
    <n v="70"/>
    <n v="0"/>
    <n v="0"/>
  </r>
  <r>
    <x v="34"/>
    <x v="4"/>
    <n v="110"/>
    <n v="0"/>
    <n v="0"/>
  </r>
  <r>
    <x v="34"/>
    <x v="4"/>
    <n v="140"/>
    <n v="0"/>
    <n v="0"/>
  </r>
  <r>
    <x v="34"/>
    <x v="4"/>
    <n v="210"/>
    <n v="0"/>
    <n v="0"/>
  </r>
  <r>
    <x v="34"/>
    <x v="4"/>
    <n v="220"/>
    <n v="0"/>
    <n v="0"/>
  </r>
  <r>
    <x v="35"/>
    <x v="0"/>
    <n v="1"/>
    <n v="17313866"/>
    <n v="17313866"/>
  </r>
  <r>
    <x v="35"/>
    <x v="0"/>
    <n v="10"/>
    <n v="0"/>
    <n v="0"/>
  </r>
  <r>
    <x v="35"/>
    <x v="0"/>
    <n v="20"/>
    <n v="0"/>
    <n v="0"/>
  </r>
  <r>
    <x v="35"/>
    <x v="0"/>
    <n v="50"/>
    <n v="1580"/>
    <n v="1580"/>
  </r>
  <r>
    <x v="35"/>
    <x v="0"/>
    <n v="70"/>
    <n v="269854"/>
    <n v="269854"/>
  </r>
  <r>
    <x v="35"/>
    <x v="0"/>
    <n v="110"/>
    <n v="12394140"/>
    <n v="-12394140"/>
  </r>
  <r>
    <x v="35"/>
    <x v="0"/>
    <n v="140"/>
    <n v="5191160"/>
    <n v="-5191160"/>
  </r>
  <r>
    <x v="35"/>
    <x v="0"/>
    <n v="200"/>
    <n v="0"/>
    <n v="0"/>
  </r>
  <r>
    <x v="35"/>
    <x v="0"/>
    <n v="210"/>
    <n v="0"/>
    <n v="0"/>
  </r>
  <r>
    <x v="35"/>
    <x v="0"/>
    <n v="220"/>
    <n v="0"/>
    <n v="0"/>
  </r>
  <r>
    <x v="35"/>
    <x v="2"/>
    <n v="10"/>
    <n v="0"/>
    <n v="0"/>
  </r>
  <r>
    <x v="35"/>
    <x v="2"/>
    <n v="110"/>
    <n v="0"/>
    <n v="0"/>
  </r>
  <r>
    <x v="35"/>
    <x v="2"/>
    <n v="210"/>
    <n v="0"/>
    <n v="0"/>
  </r>
  <r>
    <x v="35"/>
    <x v="2"/>
    <n v="230"/>
    <n v="0"/>
    <n v="0"/>
  </r>
  <r>
    <x v="36"/>
    <x v="0"/>
    <n v="50"/>
    <n v="40589100"/>
    <n v="40589100"/>
  </r>
  <r>
    <x v="36"/>
    <x v="0"/>
    <n v="140"/>
    <n v="0"/>
    <n v="0"/>
  </r>
  <r>
    <x v="36"/>
    <x v="0"/>
    <n v="210"/>
    <n v="142562"/>
    <n v="-142562"/>
  </r>
  <r>
    <x v="37"/>
    <x v="0"/>
    <n v="210"/>
    <n v="0"/>
    <n v="0"/>
  </r>
  <r>
    <x v="37"/>
    <x v="0"/>
    <n v="298"/>
    <n v="0"/>
    <n v="0"/>
  </r>
  <r>
    <x v="38"/>
    <x v="0"/>
    <n v="1"/>
    <n v="50524186"/>
    <n v="50524186"/>
  </r>
  <r>
    <x v="38"/>
    <x v="0"/>
    <n v="10"/>
    <n v="6495760"/>
    <n v="6495760"/>
  </r>
  <r>
    <x v="38"/>
    <x v="0"/>
    <n v="15"/>
    <n v="0"/>
    <n v="0"/>
  </r>
  <r>
    <x v="38"/>
    <x v="0"/>
    <n v="20"/>
    <n v="0"/>
    <n v="0"/>
  </r>
  <r>
    <x v="38"/>
    <x v="0"/>
    <n v="50"/>
    <n v="45184180"/>
    <n v="45184180"/>
  </r>
  <r>
    <x v="38"/>
    <x v="0"/>
    <n v="60"/>
    <n v="0"/>
    <n v="0"/>
  </r>
  <r>
    <x v="38"/>
    <x v="0"/>
    <n v="70"/>
    <n v="261116"/>
    <n v="261116"/>
  </r>
  <r>
    <x v="38"/>
    <x v="0"/>
    <n v="100"/>
    <n v="0"/>
    <n v="0"/>
  </r>
  <r>
    <x v="38"/>
    <x v="0"/>
    <n v="110"/>
    <n v="37853940"/>
    <n v="-37853940"/>
  </r>
  <r>
    <x v="38"/>
    <x v="0"/>
    <n v="120"/>
    <n v="0"/>
    <n v="0"/>
  </r>
  <r>
    <x v="38"/>
    <x v="0"/>
    <n v="130"/>
    <n v="0"/>
    <n v="0"/>
  </r>
  <r>
    <x v="38"/>
    <x v="0"/>
    <n v="140"/>
    <n v="0"/>
    <n v="0"/>
  </r>
  <r>
    <x v="38"/>
    <x v="0"/>
    <n v="200"/>
    <n v="31799"/>
    <n v="-31799"/>
  </r>
  <r>
    <x v="38"/>
    <x v="0"/>
    <n v="210"/>
    <n v="327340"/>
    <n v="-327340"/>
  </r>
  <r>
    <x v="38"/>
    <x v="0"/>
    <n v="220"/>
    <n v="0"/>
    <n v="0"/>
  </r>
  <r>
    <x v="38"/>
    <x v="0"/>
    <n v="298"/>
    <n v="0"/>
    <n v="0"/>
  </r>
  <r>
    <x v="38"/>
    <x v="1"/>
    <n v="10"/>
    <n v="0"/>
    <n v="0"/>
  </r>
  <r>
    <x v="38"/>
    <x v="1"/>
    <n v="50"/>
    <n v="0"/>
    <n v="0"/>
  </r>
  <r>
    <x v="38"/>
    <x v="1"/>
    <n v="210"/>
    <n v="0"/>
    <n v="0"/>
  </r>
  <r>
    <x v="38"/>
    <x v="2"/>
    <n v="1"/>
    <n v="29834781"/>
    <n v="29834781"/>
  </r>
  <r>
    <x v="38"/>
    <x v="2"/>
    <n v="10"/>
    <n v="3836820"/>
    <n v="3836820"/>
  </r>
  <r>
    <x v="38"/>
    <x v="2"/>
    <n v="20"/>
    <n v="0"/>
    <n v="0"/>
  </r>
  <r>
    <x v="38"/>
    <x v="2"/>
    <n v="30"/>
    <n v="0"/>
    <n v="0"/>
  </r>
  <r>
    <x v="38"/>
    <x v="2"/>
    <n v="50"/>
    <n v="36295180"/>
    <n v="36295180"/>
  </r>
  <r>
    <x v="38"/>
    <x v="2"/>
    <n v="70"/>
    <n v="0"/>
    <n v="0"/>
  </r>
  <r>
    <x v="38"/>
    <x v="2"/>
    <n v="100"/>
    <n v="0"/>
    <n v="0"/>
  </r>
  <r>
    <x v="38"/>
    <x v="2"/>
    <n v="110"/>
    <n v="35764180"/>
    <n v="-35764180"/>
  </r>
  <r>
    <x v="38"/>
    <x v="2"/>
    <n v="120"/>
    <n v="0"/>
    <n v="0"/>
  </r>
  <r>
    <x v="38"/>
    <x v="2"/>
    <n v="130"/>
    <n v="0"/>
    <n v="0"/>
  </r>
  <r>
    <x v="38"/>
    <x v="2"/>
    <n v="140"/>
    <n v="0"/>
    <n v="0"/>
  </r>
  <r>
    <x v="38"/>
    <x v="2"/>
    <n v="150"/>
    <n v="0"/>
    <n v="0"/>
  </r>
  <r>
    <x v="38"/>
    <x v="2"/>
    <n v="200"/>
    <n v="17009"/>
    <n v="-17009"/>
  </r>
  <r>
    <x v="38"/>
    <x v="2"/>
    <n v="210"/>
    <n v="300260"/>
    <n v="-300260"/>
  </r>
  <r>
    <x v="38"/>
    <x v="2"/>
    <n v="220"/>
    <n v="0"/>
    <n v="0"/>
  </r>
  <r>
    <x v="38"/>
    <x v="2"/>
    <n v="230"/>
    <n v="24158"/>
    <n v="-24158"/>
  </r>
  <r>
    <x v="38"/>
    <x v="2"/>
    <n v="270"/>
    <n v="0"/>
    <n v="0"/>
  </r>
  <r>
    <x v="38"/>
    <x v="2"/>
    <n v="298"/>
    <n v="0"/>
    <n v="0"/>
  </r>
  <r>
    <x v="38"/>
    <x v="3"/>
    <n v="1"/>
    <n v="15348529"/>
    <n v="15348529"/>
  </r>
  <r>
    <x v="38"/>
    <x v="3"/>
    <n v="10"/>
    <n v="851260"/>
    <n v="851260"/>
  </r>
  <r>
    <x v="38"/>
    <x v="3"/>
    <n v="50"/>
    <n v="105880"/>
    <n v="105880"/>
  </r>
  <r>
    <x v="38"/>
    <x v="3"/>
    <n v="70"/>
    <n v="0"/>
    <n v="0"/>
  </r>
  <r>
    <x v="38"/>
    <x v="3"/>
    <n v="110"/>
    <n v="15009340"/>
    <n v="-15009340"/>
  </r>
  <r>
    <x v="38"/>
    <x v="3"/>
    <n v="140"/>
    <n v="358200"/>
    <n v="-358200"/>
  </r>
  <r>
    <x v="38"/>
    <x v="3"/>
    <n v="141"/>
    <n v="580540"/>
    <n v="-580540"/>
  </r>
  <r>
    <x v="38"/>
    <x v="3"/>
    <n v="200"/>
    <n v="8513"/>
    <n v="-8513"/>
  </r>
  <r>
    <x v="38"/>
    <x v="3"/>
    <n v="210"/>
    <n v="1059"/>
    <n v="-1059"/>
  </r>
  <r>
    <x v="38"/>
    <x v="3"/>
    <n v="220"/>
    <n v="0"/>
    <n v="0"/>
  </r>
  <r>
    <x v="38"/>
    <x v="3"/>
    <n v="230"/>
    <n v="0"/>
    <n v="0"/>
  </r>
  <r>
    <x v="39"/>
    <x v="0"/>
    <n v="1"/>
    <n v="29805426"/>
    <n v="29805426"/>
  </r>
  <r>
    <x v="39"/>
    <x v="0"/>
    <n v="10"/>
    <n v="35492760"/>
    <n v="35492760"/>
  </r>
  <r>
    <x v="39"/>
    <x v="0"/>
    <n v="20"/>
    <n v="0"/>
    <n v="0"/>
  </r>
  <r>
    <x v="39"/>
    <x v="0"/>
    <n v="50"/>
    <n v="2319200"/>
    <n v="2319200"/>
  </r>
  <r>
    <x v="39"/>
    <x v="0"/>
    <n v="60"/>
    <n v="133520"/>
    <n v="133520"/>
  </r>
  <r>
    <x v="39"/>
    <x v="0"/>
    <n v="70"/>
    <n v="0"/>
    <n v="0"/>
  </r>
  <r>
    <x v="39"/>
    <x v="0"/>
    <n v="100"/>
    <n v="0"/>
    <n v="0"/>
  </r>
  <r>
    <x v="39"/>
    <x v="0"/>
    <n v="110"/>
    <n v="19823920"/>
    <n v="-19823920"/>
  </r>
  <r>
    <x v="39"/>
    <x v="0"/>
    <n v="120"/>
    <n v="295"/>
    <n v="-295"/>
  </r>
  <r>
    <x v="39"/>
    <x v="0"/>
    <n v="130"/>
    <n v="2645"/>
    <n v="-2645"/>
  </r>
  <r>
    <x v="39"/>
    <x v="0"/>
    <n v="140"/>
    <n v="22666520"/>
    <n v="-22666520"/>
  </r>
  <r>
    <x v="39"/>
    <x v="0"/>
    <n v="200"/>
    <n v="174340"/>
    <n v="-174340"/>
  </r>
  <r>
    <x v="39"/>
    <x v="0"/>
    <n v="210"/>
    <n v="226486"/>
    <n v="-226486"/>
  </r>
  <r>
    <x v="39"/>
    <x v="0"/>
    <n v="220"/>
    <n v="0"/>
    <n v="0"/>
  </r>
  <r>
    <x v="39"/>
    <x v="0"/>
    <n v="230"/>
    <n v="0"/>
    <n v="0"/>
  </r>
  <r>
    <x v="39"/>
    <x v="0"/>
    <n v="298"/>
    <n v="0"/>
    <n v="0"/>
  </r>
  <r>
    <x v="39"/>
    <x v="1"/>
    <n v="1"/>
    <n v="7728609"/>
    <n v="7728609"/>
  </r>
  <r>
    <x v="39"/>
    <x v="1"/>
    <n v="10"/>
    <n v="13965000"/>
    <n v="13965000"/>
  </r>
  <r>
    <x v="39"/>
    <x v="1"/>
    <n v="20"/>
    <n v="0"/>
    <n v="0"/>
  </r>
  <r>
    <x v="39"/>
    <x v="1"/>
    <n v="50"/>
    <n v="246720"/>
    <n v="246720"/>
  </r>
  <r>
    <x v="39"/>
    <x v="1"/>
    <n v="60"/>
    <n v="0"/>
    <n v="0"/>
  </r>
  <r>
    <x v="39"/>
    <x v="1"/>
    <n v="70"/>
    <n v="0"/>
    <n v="0"/>
  </r>
  <r>
    <x v="39"/>
    <x v="1"/>
    <n v="110"/>
    <n v="0"/>
    <n v="0"/>
  </r>
  <r>
    <x v="39"/>
    <x v="1"/>
    <n v="120"/>
    <n v="0"/>
    <n v="0"/>
  </r>
  <r>
    <x v="39"/>
    <x v="1"/>
    <n v="130"/>
    <n v="0"/>
    <n v="0"/>
  </r>
  <r>
    <x v="39"/>
    <x v="1"/>
    <n v="140"/>
    <n v="0"/>
    <n v="0"/>
  </r>
  <r>
    <x v="39"/>
    <x v="1"/>
    <n v="141"/>
    <n v="21154120"/>
    <n v="-21154120"/>
  </r>
  <r>
    <x v="39"/>
    <x v="1"/>
    <n v="150"/>
    <n v="0"/>
    <n v="0"/>
  </r>
  <r>
    <x v="39"/>
    <x v="1"/>
    <n v="200"/>
    <n v="69163"/>
    <n v="-69163"/>
  </r>
  <r>
    <x v="39"/>
    <x v="1"/>
    <n v="210"/>
    <n v="0"/>
    <n v="0"/>
  </r>
  <r>
    <x v="39"/>
    <x v="1"/>
    <n v="220"/>
    <n v="418136"/>
    <n v="-418136"/>
  </r>
  <r>
    <x v="39"/>
    <x v="1"/>
    <n v="230"/>
    <n v="298910"/>
    <n v="-298910"/>
  </r>
  <r>
    <x v="39"/>
    <x v="1"/>
    <n v="298"/>
    <n v="0"/>
    <n v="0"/>
  </r>
  <r>
    <x v="39"/>
    <x v="2"/>
    <n v="1"/>
    <n v="10570315"/>
    <n v="10570315"/>
  </r>
  <r>
    <x v="39"/>
    <x v="2"/>
    <n v="10"/>
    <n v="34140162"/>
    <n v="34140162"/>
  </r>
  <r>
    <x v="39"/>
    <x v="2"/>
    <n v="20"/>
    <n v="0"/>
    <n v="0"/>
  </r>
  <r>
    <x v="39"/>
    <x v="2"/>
    <n v="50"/>
    <n v="310640"/>
    <n v="310640"/>
  </r>
  <r>
    <x v="39"/>
    <x v="2"/>
    <n v="60"/>
    <n v="0"/>
    <n v="0"/>
  </r>
  <r>
    <x v="39"/>
    <x v="2"/>
    <n v="70"/>
    <n v="0"/>
    <n v="0"/>
  </r>
  <r>
    <x v="39"/>
    <x v="2"/>
    <n v="100"/>
    <n v="0"/>
    <n v="0"/>
  </r>
  <r>
    <x v="39"/>
    <x v="2"/>
    <n v="110"/>
    <n v="18020780"/>
    <n v="-18020780"/>
  </r>
  <r>
    <x v="39"/>
    <x v="2"/>
    <n v="120"/>
    <n v="1900"/>
    <n v="-1900"/>
  </r>
  <r>
    <x v="39"/>
    <x v="2"/>
    <n v="130"/>
    <n v="0"/>
    <n v="0"/>
  </r>
  <r>
    <x v="39"/>
    <x v="2"/>
    <n v="140"/>
    <n v="13850500"/>
    <n v="-13850500"/>
  </r>
  <r>
    <x v="39"/>
    <x v="2"/>
    <n v="141"/>
    <n v="825780"/>
    <n v="-825780"/>
  </r>
  <r>
    <x v="39"/>
    <x v="2"/>
    <n v="200"/>
    <n v="169493"/>
    <n v="-169493"/>
  </r>
  <r>
    <x v="39"/>
    <x v="2"/>
    <n v="210"/>
    <n v="38305"/>
    <n v="-38305"/>
  </r>
  <r>
    <x v="39"/>
    <x v="2"/>
    <n v="220"/>
    <n v="0"/>
    <n v="0"/>
  </r>
  <r>
    <x v="39"/>
    <x v="2"/>
    <n v="230"/>
    <n v="111101"/>
    <n v="-111101"/>
  </r>
  <r>
    <x v="39"/>
    <x v="2"/>
    <n v="240"/>
    <n v="0"/>
    <n v="0"/>
  </r>
  <r>
    <x v="39"/>
    <x v="2"/>
    <n v="270"/>
    <n v="0"/>
    <n v="0"/>
  </r>
  <r>
    <x v="39"/>
    <x v="2"/>
    <n v="298"/>
    <n v="0"/>
    <n v="0"/>
  </r>
  <r>
    <x v="39"/>
    <x v="3"/>
    <n v="1"/>
    <n v="6149915"/>
    <n v="6149915"/>
  </r>
  <r>
    <x v="39"/>
    <x v="3"/>
    <n v="10"/>
    <n v="31133500"/>
    <n v="31133500"/>
  </r>
  <r>
    <x v="39"/>
    <x v="3"/>
    <n v="20"/>
    <n v="0"/>
    <n v="0"/>
  </r>
  <r>
    <x v="39"/>
    <x v="3"/>
    <n v="50"/>
    <n v="24229420"/>
    <n v="24229420"/>
  </r>
  <r>
    <x v="39"/>
    <x v="3"/>
    <n v="60"/>
    <n v="0"/>
    <n v="0"/>
  </r>
  <r>
    <x v="39"/>
    <x v="3"/>
    <n v="70"/>
    <n v="1325963"/>
    <n v="1325963"/>
  </r>
  <r>
    <x v="39"/>
    <x v="3"/>
    <n v="100"/>
    <n v="0"/>
    <n v="0"/>
  </r>
  <r>
    <x v="39"/>
    <x v="3"/>
    <n v="110"/>
    <n v="1835460"/>
    <n v="-1835460"/>
  </r>
  <r>
    <x v="39"/>
    <x v="3"/>
    <n v="120"/>
    <n v="41860"/>
    <n v="-41860"/>
  </r>
  <r>
    <x v="39"/>
    <x v="3"/>
    <n v="130"/>
    <n v="402520"/>
    <n v="-402520"/>
  </r>
  <r>
    <x v="39"/>
    <x v="3"/>
    <n v="140"/>
    <n v="19817980"/>
    <n v="-19817980"/>
  </r>
  <r>
    <x v="39"/>
    <x v="3"/>
    <n v="141"/>
    <n v="33607280"/>
    <n v="-33607280"/>
  </r>
  <r>
    <x v="39"/>
    <x v="3"/>
    <n v="150"/>
    <n v="0"/>
    <n v="0"/>
  </r>
  <r>
    <x v="39"/>
    <x v="3"/>
    <n v="200"/>
    <n v="309230"/>
    <n v="-309230"/>
  </r>
  <r>
    <x v="39"/>
    <x v="3"/>
    <n v="210"/>
    <n v="46717"/>
    <n v="-46717"/>
  </r>
  <r>
    <x v="39"/>
    <x v="3"/>
    <n v="220"/>
    <n v="0"/>
    <n v="0"/>
  </r>
  <r>
    <x v="39"/>
    <x v="3"/>
    <n v="230"/>
    <n v="116356"/>
    <n v="-116356"/>
  </r>
  <r>
    <x v="39"/>
    <x v="3"/>
    <n v="298"/>
    <n v="0"/>
    <n v="0"/>
  </r>
  <r>
    <x v="39"/>
    <x v="4"/>
    <n v="1"/>
    <n v="0"/>
    <n v="0"/>
  </r>
  <r>
    <x v="39"/>
    <x v="4"/>
    <n v="10"/>
    <n v="0"/>
    <n v="0"/>
  </r>
  <r>
    <x v="39"/>
    <x v="4"/>
    <n v="50"/>
    <n v="0"/>
    <n v="0"/>
  </r>
  <r>
    <x v="39"/>
    <x v="4"/>
    <n v="70"/>
    <n v="0"/>
    <n v="0"/>
  </r>
  <r>
    <x v="39"/>
    <x v="4"/>
    <n v="110"/>
    <n v="0"/>
    <n v="0"/>
  </r>
  <r>
    <x v="39"/>
    <x v="4"/>
    <n v="120"/>
    <n v="0"/>
    <n v="0"/>
  </r>
  <r>
    <x v="39"/>
    <x v="4"/>
    <n v="140"/>
    <n v="0"/>
    <n v="0"/>
  </r>
  <r>
    <x v="39"/>
    <x v="4"/>
    <n v="210"/>
    <n v="0"/>
    <n v="0"/>
  </r>
  <r>
    <x v="39"/>
    <x v="4"/>
    <n v="230"/>
    <n v="0"/>
    <n v="0"/>
  </r>
  <r>
    <x v="40"/>
    <x v="0"/>
    <n v="1"/>
    <n v="0"/>
    <n v="0"/>
  </r>
  <r>
    <x v="40"/>
    <x v="0"/>
    <n v="10"/>
    <n v="428460"/>
    <n v="428460"/>
  </r>
  <r>
    <x v="40"/>
    <x v="0"/>
    <n v="20"/>
    <n v="0"/>
    <n v="0"/>
  </r>
  <r>
    <x v="40"/>
    <x v="0"/>
    <n v="50"/>
    <n v="58962980"/>
    <n v="58962980"/>
  </r>
  <r>
    <x v="40"/>
    <x v="0"/>
    <n v="70"/>
    <n v="0"/>
    <n v="0"/>
  </r>
  <r>
    <x v="40"/>
    <x v="0"/>
    <n v="110"/>
    <n v="0"/>
    <n v="0"/>
  </r>
  <r>
    <x v="40"/>
    <x v="0"/>
    <n v="140"/>
    <n v="0"/>
    <n v="0"/>
  </r>
  <r>
    <x v="40"/>
    <x v="0"/>
    <n v="200"/>
    <n v="2143"/>
    <n v="-2143"/>
  </r>
  <r>
    <x v="40"/>
    <x v="0"/>
    <n v="210"/>
    <n v="206023"/>
    <n v="-206023"/>
  </r>
  <r>
    <x v="40"/>
    <x v="1"/>
    <n v="1"/>
    <n v="0"/>
    <n v="0"/>
  </r>
  <r>
    <x v="40"/>
    <x v="1"/>
    <n v="10"/>
    <n v="0"/>
    <n v="0"/>
  </r>
  <r>
    <x v="40"/>
    <x v="1"/>
    <n v="50"/>
    <n v="0"/>
    <n v="0"/>
  </r>
  <r>
    <x v="40"/>
    <x v="1"/>
    <n v="110"/>
    <n v="0"/>
    <n v="0"/>
  </r>
  <r>
    <x v="40"/>
    <x v="1"/>
    <n v="120"/>
    <n v="0"/>
    <n v="0"/>
  </r>
  <r>
    <x v="40"/>
    <x v="1"/>
    <n v="140"/>
    <n v="0"/>
    <n v="0"/>
  </r>
  <r>
    <x v="40"/>
    <x v="1"/>
    <n v="200"/>
    <n v="0"/>
    <n v="0"/>
  </r>
  <r>
    <x v="40"/>
    <x v="1"/>
    <n v="220"/>
    <n v="0"/>
    <n v="0"/>
  </r>
  <r>
    <x v="40"/>
    <x v="1"/>
    <n v="230"/>
    <n v="0"/>
    <n v="0"/>
  </r>
  <r>
    <x v="40"/>
    <x v="2"/>
    <n v="50"/>
    <n v="0"/>
    <n v="0"/>
  </r>
  <r>
    <x v="40"/>
    <x v="2"/>
    <n v="110"/>
    <n v="0"/>
    <n v="0"/>
  </r>
  <r>
    <x v="40"/>
    <x v="3"/>
    <n v="1"/>
    <n v="76066303"/>
    <n v="76066303"/>
  </r>
  <r>
    <x v="40"/>
    <x v="3"/>
    <n v="10"/>
    <n v="1225040"/>
    <n v="1225040"/>
  </r>
  <r>
    <x v="40"/>
    <x v="3"/>
    <n v="50"/>
    <n v="48151170"/>
    <n v="48151170"/>
  </r>
  <r>
    <x v="40"/>
    <x v="3"/>
    <n v="70"/>
    <n v="-1325963"/>
    <n v="-1325963"/>
  </r>
  <r>
    <x v="40"/>
    <x v="3"/>
    <n v="110"/>
    <n v="367900"/>
    <n v="-367900"/>
  </r>
  <r>
    <x v="40"/>
    <x v="3"/>
    <n v="120"/>
    <n v="0"/>
    <n v="0"/>
  </r>
  <r>
    <x v="40"/>
    <x v="3"/>
    <n v="140"/>
    <n v="21497620"/>
    <n v="-21497620"/>
  </r>
  <r>
    <x v="40"/>
    <x v="3"/>
    <n v="141"/>
    <n v="56875560"/>
    <n v="-56875560"/>
  </r>
  <r>
    <x v="40"/>
    <x v="3"/>
    <n v="200"/>
    <n v="12250"/>
    <n v="-12250"/>
  </r>
  <r>
    <x v="40"/>
    <x v="3"/>
    <n v="210"/>
    <n v="47713"/>
    <n v="-47713"/>
  </r>
  <r>
    <x v="40"/>
    <x v="3"/>
    <n v="220"/>
    <n v="0"/>
    <n v="0"/>
  </r>
  <r>
    <x v="40"/>
    <x v="3"/>
    <n v="230"/>
    <n v="5030"/>
    <n v="-5030"/>
  </r>
  <r>
    <x v="41"/>
    <x v="0"/>
    <n v="1"/>
    <n v="13188652"/>
    <n v="13188652"/>
  </r>
  <r>
    <x v="41"/>
    <x v="0"/>
    <n v="10"/>
    <n v="24695140"/>
    <n v="24695140"/>
  </r>
  <r>
    <x v="41"/>
    <x v="0"/>
    <n v="20"/>
    <n v="0"/>
    <n v="0"/>
  </r>
  <r>
    <x v="41"/>
    <x v="0"/>
    <n v="50"/>
    <n v="0"/>
    <n v="0"/>
  </r>
  <r>
    <x v="41"/>
    <x v="0"/>
    <n v="70"/>
    <n v="0"/>
    <n v="0"/>
  </r>
  <r>
    <x v="41"/>
    <x v="0"/>
    <n v="100"/>
    <n v="0"/>
    <n v="0"/>
  </r>
  <r>
    <x v="41"/>
    <x v="0"/>
    <n v="110"/>
    <n v="0"/>
    <n v="0"/>
  </r>
  <r>
    <x v="41"/>
    <x v="0"/>
    <n v="120"/>
    <n v="0"/>
    <n v="0"/>
  </r>
  <r>
    <x v="41"/>
    <x v="0"/>
    <n v="130"/>
    <n v="0"/>
    <n v="0"/>
  </r>
  <r>
    <x v="41"/>
    <x v="0"/>
    <n v="140"/>
    <n v="25082300"/>
    <n v="-25082300"/>
  </r>
  <r>
    <x v="41"/>
    <x v="0"/>
    <n v="200"/>
    <n v="122165"/>
    <n v="-122165"/>
  </r>
  <r>
    <x v="41"/>
    <x v="0"/>
    <n v="210"/>
    <n v="141321"/>
    <n v="-141321"/>
  </r>
  <r>
    <x v="41"/>
    <x v="0"/>
    <n v="230"/>
    <n v="0"/>
    <n v="0"/>
  </r>
  <r>
    <x v="41"/>
    <x v="0"/>
    <n v="298"/>
    <n v="0"/>
    <n v="0"/>
  </r>
  <r>
    <x v="41"/>
    <x v="1"/>
    <n v="1"/>
    <n v="7550"/>
    <n v="7550"/>
  </r>
  <r>
    <x v="41"/>
    <x v="1"/>
    <n v="10"/>
    <n v="2549480"/>
    <n v="2549480"/>
  </r>
  <r>
    <x v="41"/>
    <x v="1"/>
    <n v="20"/>
    <n v="703"/>
    <n v="703"/>
  </r>
  <r>
    <x v="41"/>
    <x v="1"/>
    <n v="50"/>
    <n v="0"/>
    <n v="0"/>
  </r>
  <r>
    <x v="41"/>
    <x v="1"/>
    <n v="70"/>
    <n v="0"/>
    <n v="0"/>
  </r>
  <r>
    <x v="41"/>
    <x v="1"/>
    <n v="100"/>
    <n v="0"/>
    <n v="0"/>
  </r>
  <r>
    <x v="41"/>
    <x v="1"/>
    <n v="110"/>
    <n v="0"/>
    <n v="0"/>
  </r>
  <r>
    <x v="41"/>
    <x v="1"/>
    <n v="120"/>
    <n v="0"/>
    <n v="0"/>
  </r>
  <r>
    <x v="41"/>
    <x v="1"/>
    <n v="130"/>
    <n v="0"/>
    <n v="0"/>
  </r>
  <r>
    <x v="41"/>
    <x v="1"/>
    <n v="140"/>
    <n v="0"/>
    <n v="0"/>
  </r>
  <r>
    <x v="41"/>
    <x v="1"/>
    <n v="141"/>
    <n v="2448020"/>
    <n v="-2448020"/>
  </r>
  <r>
    <x v="41"/>
    <x v="1"/>
    <n v="200"/>
    <n v="12288"/>
    <n v="-12288"/>
  </r>
  <r>
    <x v="41"/>
    <x v="1"/>
    <n v="210"/>
    <n v="0"/>
    <n v="0"/>
  </r>
  <r>
    <x v="41"/>
    <x v="1"/>
    <n v="220"/>
    <n v="0"/>
    <n v="0"/>
  </r>
  <r>
    <x v="41"/>
    <x v="1"/>
    <n v="230"/>
    <n v="42014"/>
    <n v="-42014"/>
  </r>
  <r>
    <x v="41"/>
    <x v="1"/>
    <n v="298"/>
    <n v="0"/>
    <n v="0"/>
  </r>
  <r>
    <x v="41"/>
    <x v="2"/>
    <n v="1"/>
    <n v="5367994"/>
    <n v="5367994"/>
  </r>
  <r>
    <x v="41"/>
    <x v="2"/>
    <n v="10"/>
    <n v="28858450"/>
    <n v="28858450"/>
  </r>
  <r>
    <x v="41"/>
    <x v="2"/>
    <n v="20"/>
    <n v="180000"/>
    <n v="180000"/>
  </r>
  <r>
    <x v="41"/>
    <x v="2"/>
    <n v="50"/>
    <n v="0"/>
    <n v="0"/>
  </r>
  <r>
    <x v="41"/>
    <x v="2"/>
    <n v="70"/>
    <n v="0"/>
    <n v="0"/>
  </r>
  <r>
    <x v="41"/>
    <x v="2"/>
    <n v="110"/>
    <n v="13271880"/>
    <n v="-13271880"/>
  </r>
  <r>
    <x v="41"/>
    <x v="2"/>
    <n v="120"/>
    <n v="0"/>
    <n v="0"/>
  </r>
  <r>
    <x v="41"/>
    <x v="2"/>
    <n v="140"/>
    <n v="2327090"/>
    <n v="-2327090"/>
  </r>
  <r>
    <x v="41"/>
    <x v="2"/>
    <n v="141"/>
    <n v="2808850"/>
    <n v="-2808850"/>
  </r>
  <r>
    <x v="41"/>
    <x v="2"/>
    <n v="200"/>
    <n v="143538"/>
    <n v="-143538"/>
  </r>
  <r>
    <x v="41"/>
    <x v="2"/>
    <n v="210"/>
    <n v="38269"/>
    <n v="-38269"/>
  </r>
  <r>
    <x v="41"/>
    <x v="2"/>
    <n v="220"/>
    <n v="0"/>
    <n v="0"/>
  </r>
  <r>
    <x v="41"/>
    <x v="2"/>
    <n v="230"/>
    <n v="67384"/>
    <n v="-67384"/>
  </r>
  <r>
    <x v="41"/>
    <x v="2"/>
    <n v="270"/>
    <n v="0"/>
    <n v="0"/>
  </r>
  <r>
    <x v="41"/>
    <x v="2"/>
    <n v="298"/>
    <n v="0"/>
    <n v="0"/>
  </r>
  <r>
    <x v="41"/>
    <x v="3"/>
    <n v="1"/>
    <n v="0"/>
    <n v="0"/>
  </r>
  <r>
    <x v="41"/>
    <x v="3"/>
    <n v="10"/>
    <n v="31956150"/>
    <n v="31956150"/>
  </r>
  <r>
    <x v="41"/>
    <x v="3"/>
    <n v="20"/>
    <n v="0"/>
    <n v="0"/>
  </r>
  <r>
    <x v="41"/>
    <x v="3"/>
    <n v="50"/>
    <n v="0"/>
    <n v="0"/>
  </r>
  <r>
    <x v="41"/>
    <x v="3"/>
    <n v="70"/>
    <n v="0"/>
    <n v="0"/>
  </r>
  <r>
    <x v="41"/>
    <x v="3"/>
    <n v="110"/>
    <n v="0"/>
    <n v="0"/>
  </r>
  <r>
    <x v="41"/>
    <x v="3"/>
    <n v="120"/>
    <n v="119130"/>
    <n v="-119130"/>
  </r>
  <r>
    <x v="41"/>
    <x v="3"/>
    <n v="130"/>
    <n v="335090"/>
    <n v="-335090"/>
  </r>
  <r>
    <x v="41"/>
    <x v="3"/>
    <n v="140"/>
    <n v="23637900"/>
    <n v="-23637900"/>
  </r>
  <r>
    <x v="41"/>
    <x v="3"/>
    <n v="141"/>
    <n v="6664580"/>
    <n v="-6664580"/>
  </r>
  <r>
    <x v="41"/>
    <x v="3"/>
    <n v="200"/>
    <n v="300962"/>
    <n v="-300962"/>
  </r>
  <r>
    <x v="41"/>
    <x v="3"/>
    <n v="210"/>
    <n v="1540"/>
    <n v="-1540"/>
  </r>
  <r>
    <x v="41"/>
    <x v="3"/>
    <n v="220"/>
    <n v="0"/>
    <n v="0"/>
  </r>
  <r>
    <x v="41"/>
    <x v="3"/>
    <n v="230"/>
    <n v="36830"/>
    <n v="-36830"/>
  </r>
  <r>
    <x v="41"/>
    <x v="3"/>
    <n v="298"/>
    <n v="0"/>
    <n v="0"/>
  </r>
  <r>
    <x v="42"/>
    <x v="0"/>
    <n v="1"/>
    <n v="15282369"/>
    <n v="15282369"/>
  </r>
  <r>
    <x v="42"/>
    <x v="0"/>
    <n v="10"/>
    <n v="11228600"/>
    <n v="11228600"/>
  </r>
  <r>
    <x v="42"/>
    <x v="0"/>
    <n v="20"/>
    <n v="0"/>
    <n v="0"/>
  </r>
  <r>
    <x v="42"/>
    <x v="0"/>
    <n v="50"/>
    <n v="0"/>
    <n v="0"/>
  </r>
  <r>
    <x v="42"/>
    <x v="0"/>
    <n v="70"/>
    <n v="0"/>
    <n v="0"/>
  </r>
  <r>
    <x v="42"/>
    <x v="0"/>
    <n v="110"/>
    <n v="382960"/>
    <n v="-382960"/>
  </r>
  <r>
    <x v="42"/>
    <x v="0"/>
    <n v="120"/>
    <n v="8060"/>
    <n v="-8060"/>
  </r>
  <r>
    <x v="42"/>
    <x v="0"/>
    <n v="130"/>
    <n v="0"/>
    <n v="0"/>
  </r>
  <r>
    <x v="42"/>
    <x v="0"/>
    <n v="140"/>
    <n v="216740"/>
    <n v="-216740"/>
  </r>
  <r>
    <x v="42"/>
    <x v="0"/>
    <n v="200"/>
    <n v="55892"/>
    <n v="-55892"/>
  </r>
  <r>
    <x v="42"/>
    <x v="0"/>
    <n v="210"/>
    <n v="83928"/>
    <n v="-83928"/>
  </r>
  <r>
    <x v="42"/>
    <x v="0"/>
    <n v="220"/>
    <n v="0"/>
    <n v="0"/>
  </r>
  <r>
    <x v="42"/>
    <x v="0"/>
    <n v="230"/>
    <n v="0"/>
    <n v="0"/>
  </r>
  <r>
    <x v="42"/>
    <x v="0"/>
    <n v="298"/>
    <n v="0"/>
    <n v="0"/>
  </r>
  <r>
    <x v="42"/>
    <x v="1"/>
    <n v="1"/>
    <n v="85179"/>
    <n v="85179"/>
  </r>
  <r>
    <x v="42"/>
    <x v="1"/>
    <n v="10"/>
    <n v="429020"/>
    <n v="429020"/>
  </r>
  <r>
    <x v="42"/>
    <x v="1"/>
    <n v="20"/>
    <n v="61053"/>
    <n v="61053"/>
  </r>
  <r>
    <x v="42"/>
    <x v="1"/>
    <n v="70"/>
    <n v="0"/>
    <n v="0"/>
  </r>
  <r>
    <x v="42"/>
    <x v="1"/>
    <n v="110"/>
    <n v="0"/>
    <n v="0"/>
  </r>
  <r>
    <x v="42"/>
    <x v="1"/>
    <n v="120"/>
    <n v="0"/>
    <n v="0"/>
  </r>
  <r>
    <x v="42"/>
    <x v="1"/>
    <n v="130"/>
    <n v="0"/>
    <n v="0"/>
  </r>
  <r>
    <x v="42"/>
    <x v="1"/>
    <n v="140"/>
    <n v="33760"/>
    <n v="-33760"/>
  </r>
  <r>
    <x v="42"/>
    <x v="1"/>
    <n v="141"/>
    <n v="533600"/>
    <n v="-533600"/>
  </r>
  <r>
    <x v="42"/>
    <x v="1"/>
    <n v="200"/>
    <n v="2145"/>
    <n v="-2145"/>
  </r>
  <r>
    <x v="42"/>
    <x v="1"/>
    <n v="210"/>
    <n v="0"/>
    <n v="0"/>
  </r>
  <r>
    <x v="42"/>
    <x v="1"/>
    <n v="220"/>
    <n v="0"/>
    <n v="0"/>
  </r>
  <r>
    <x v="42"/>
    <x v="1"/>
    <n v="230"/>
    <n v="5747"/>
    <n v="-5747"/>
  </r>
  <r>
    <x v="42"/>
    <x v="1"/>
    <n v="298"/>
    <n v="0"/>
    <n v="0"/>
  </r>
  <r>
    <x v="42"/>
    <x v="2"/>
    <n v="1"/>
    <n v="14004796"/>
    <n v="14004796"/>
  </r>
  <r>
    <x v="42"/>
    <x v="2"/>
    <n v="10"/>
    <n v="23711700"/>
    <n v="23711700"/>
  </r>
  <r>
    <x v="42"/>
    <x v="2"/>
    <n v="20"/>
    <n v="9224"/>
    <n v="9224"/>
  </r>
  <r>
    <x v="42"/>
    <x v="2"/>
    <n v="50"/>
    <n v="0"/>
    <n v="0"/>
  </r>
  <r>
    <x v="42"/>
    <x v="2"/>
    <n v="70"/>
    <n v="0"/>
    <n v="0"/>
  </r>
  <r>
    <x v="42"/>
    <x v="2"/>
    <n v="100"/>
    <n v="0"/>
    <n v="0"/>
  </r>
  <r>
    <x v="42"/>
    <x v="2"/>
    <n v="110"/>
    <n v="17257640"/>
    <n v="-17257640"/>
  </r>
  <r>
    <x v="42"/>
    <x v="2"/>
    <n v="120"/>
    <n v="0"/>
    <n v="0"/>
  </r>
  <r>
    <x v="42"/>
    <x v="2"/>
    <n v="140"/>
    <n v="58620"/>
    <n v="-58620"/>
  </r>
  <r>
    <x v="42"/>
    <x v="2"/>
    <n v="141"/>
    <n v="2140980"/>
    <n v="-2140980"/>
  </r>
  <r>
    <x v="42"/>
    <x v="2"/>
    <n v="200"/>
    <n v="118559"/>
    <n v="-118559"/>
  </r>
  <r>
    <x v="42"/>
    <x v="2"/>
    <n v="210"/>
    <n v="78578"/>
    <n v="-78578"/>
  </r>
  <r>
    <x v="42"/>
    <x v="2"/>
    <n v="220"/>
    <n v="0"/>
    <n v="0"/>
  </r>
  <r>
    <x v="42"/>
    <x v="2"/>
    <n v="230"/>
    <n v="66022"/>
    <n v="-66022"/>
  </r>
  <r>
    <x v="42"/>
    <x v="2"/>
    <n v="298"/>
    <n v="0"/>
    <n v="0"/>
  </r>
  <r>
    <x v="42"/>
    <x v="3"/>
    <n v="1"/>
    <n v="2873889"/>
    <n v="2873889"/>
  </r>
  <r>
    <x v="42"/>
    <x v="3"/>
    <n v="10"/>
    <n v="35433020"/>
    <n v="35433020"/>
  </r>
  <r>
    <x v="42"/>
    <x v="3"/>
    <n v="20"/>
    <n v="0"/>
    <n v="0"/>
  </r>
  <r>
    <x v="42"/>
    <x v="3"/>
    <n v="50"/>
    <n v="20542580"/>
    <n v="20542580"/>
  </r>
  <r>
    <x v="42"/>
    <x v="3"/>
    <n v="70"/>
    <n v="722007"/>
    <n v="722007"/>
  </r>
  <r>
    <x v="42"/>
    <x v="3"/>
    <n v="110"/>
    <n v="8778160"/>
    <n v="-8778160"/>
  </r>
  <r>
    <x v="42"/>
    <x v="3"/>
    <n v="120"/>
    <n v="7001072"/>
    <n v="-7001072"/>
  </r>
  <r>
    <x v="42"/>
    <x v="3"/>
    <n v="130"/>
    <n v="506688"/>
    <n v="-506688"/>
  </r>
  <r>
    <x v="42"/>
    <x v="3"/>
    <n v="140"/>
    <n v="18233080"/>
    <n v="-18233080"/>
  </r>
  <r>
    <x v="42"/>
    <x v="3"/>
    <n v="141"/>
    <n v="11252480"/>
    <n v="-11252480"/>
  </r>
  <r>
    <x v="42"/>
    <x v="3"/>
    <n v="150"/>
    <n v="0"/>
    <n v="0"/>
  </r>
  <r>
    <x v="42"/>
    <x v="3"/>
    <n v="200"/>
    <n v="346850"/>
    <n v="-346850"/>
  </r>
  <r>
    <x v="42"/>
    <x v="3"/>
    <n v="210"/>
    <n v="18353"/>
    <n v="-18353"/>
  </r>
  <r>
    <x v="42"/>
    <x v="3"/>
    <n v="220"/>
    <n v="0"/>
    <n v="0"/>
  </r>
  <r>
    <x v="42"/>
    <x v="3"/>
    <n v="230"/>
    <n v="76784"/>
    <n v="-76784"/>
  </r>
  <r>
    <x v="42"/>
    <x v="3"/>
    <n v="298"/>
    <n v="0"/>
    <n v="0"/>
  </r>
  <r>
    <x v="42"/>
    <x v="4"/>
    <n v="1"/>
    <n v="0"/>
    <n v="0"/>
  </r>
  <r>
    <x v="42"/>
    <x v="4"/>
    <n v="10"/>
    <n v="0"/>
    <n v="0"/>
  </r>
  <r>
    <x v="42"/>
    <x v="4"/>
    <n v="20"/>
    <n v="0"/>
    <n v="0"/>
  </r>
  <r>
    <x v="42"/>
    <x v="4"/>
    <n v="110"/>
    <n v="0"/>
    <n v="0"/>
  </r>
  <r>
    <x v="42"/>
    <x v="4"/>
    <n v="140"/>
    <n v="0"/>
    <n v="0"/>
  </r>
  <r>
    <x v="42"/>
    <x v="4"/>
    <n v="210"/>
    <n v="0"/>
    <n v="0"/>
  </r>
  <r>
    <x v="43"/>
    <x v="0"/>
    <n v="1"/>
    <n v="0"/>
    <n v="0"/>
  </r>
  <r>
    <x v="43"/>
    <x v="0"/>
    <n v="50"/>
    <n v="0"/>
    <n v="0"/>
  </r>
  <r>
    <x v="43"/>
    <x v="0"/>
    <n v="70"/>
    <n v="0"/>
    <n v="0"/>
  </r>
  <r>
    <x v="43"/>
    <x v="0"/>
    <n v="110"/>
    <n v="0"/>
    <n v="0"/>
  </r>
  <r>
    <x v="43"/>
    <x v="0"/>
    <n v="140"/>
    <n v="0"/>
    <n v="0"/>
  </r>
  <r>
    <x v="43"/>
    <x v="0"/>
    <n v="210"/>
    <n v="0"/>
    <n v="0"/>
  </r>
  <r>
    <x v="43"/>
    <x v="2"/>
    <n v="50"/>
    <n v="0"/>
    <n v="0"/>
  </r>
  <r>
    <x v="43"/>
    <x v="2"/>
    <n v="110"/>
    <n v="0"/>
    <n v="0"/>
  </r>
  <r>
    <x v="43"/>
    <x v="2"/>
    <n v="141"/>
    <n v="0"/>
    <n v="0"/>
  </r>
  <r>
    <x v="43"/>
    <x v="2"/>
    <n v="210"/>
    <n v="0"/>
    <n v="0"/>
  </r>
  <r>
    <x v="43"/>
    <x v="2"/>
    <n v="230"/>
    <n v="0"/>
    <n v="0"/>
  </r>
  <r>
    <x v="43"/>
    <x v="3"/>
    <n v="1"/>
    <n v="21627587"/>
    <n v="21627587"/>
  </r>
  <r>
    <x v="43"/>
    <x v="3"/>
    <n v="10"/>
    <n v="3650220"/>
    <n v="3650220"/>
  </r>
  <r>
    <x v="43"/>
    <x v="3"/>
    <n v="50"/>
    <n v="17819540"/>
    <n v="17819540"/>
  </r>
  <r>
    <x v="43"/>
    <x v="3"/>
    <n v="70"/>
    <n v="-722007"/>
    <n v="-722007"/>
  </r>
  <r>
    <x v="43"/>
    <x v="3"/>
    <n v="110"/>
    <n v="4543440"/>
    <n v="-4543440"/>
  </r>
  <r>
    <x v="43"/>
    <x v="3"/>
    <n v="120"/>
    <n v="892620"/>
    <n v="-892620"/>
  </r>
  <r>
    <x v="43"/>
    <x v="3"/>
    <n v="130"/>
    <n v="9760"/>
    <n v="-9760"/>
  </r>
  <r>
    <x v="43"/>
    <x v="3"/>
    <n v="140"/>
    <n v="20415480"/>
    <n v="-20415480"/>
  </r>
  <r>
    <x v="43"/>
    <x v="3"/>
    <n v="141"/>
    <n v="2905120"/>
    <n v="-2905120"/>
  </r>
  <r>
    <x v="43"/>
    <x v="3"/>
    <n v="200"/>
    <n v="36502"/>
    <n v="-36502"/>
  </r>
  <r>
    <x v="43"/>
    <x v="3"/>
    <n v="210"/>
    <n v="0"/>
    <n v="0"/>
  </r>
  <r>
    <x v="43"/>
    <x v="3"/>
    <n v="230"/>
    <n v="0"/>
    <n v="0"/>
  </r>
  <r>
    <x v="44"/>
    <x v="0"/>
    <n v="1"/>
    <n v="2718412"/>
    <n v="2718412"/>
  </r>
  <r>
    <x v="44"/>
    <x v="0"/>
    <n v="10"/>
    <n v="8459420"/>
    <n v="8459420"/>
  </r>
  <r>
    <x v="44"/>
    <x v="0"/>
    <n v="20"/>
    <n v="0"/>
    <n v="0"/>
  </r>
  <r>
    <x v="44"/>
    <x v="0"/>
    <n v="50"/>
    <n v="0"/>
    <n v="0"/>
  </r>
  <r>
    <x v="44"/>
    <x v="0"/>
    <n v="70"/>
    <n v="0"/>
    <n v="0"/>
  </r>
  <r>
    <x v="44"/>
    <x v="0"/>
    <n v="110"/>
    <n v="0"/>
    <n v="0"/>
  </r>
  <r>
    <x v="44"/>
    <x v="0"/>
    <n v="120"/>
    <n v="2320"/>
    <n v="-2320"/>
  </r>
  <r>
    <x v="44"/>
    <x v="0"/>
    <n v="130"/>
    <n v="0"/>
    <n v="0"/>
  </r>
  <r>
    <x v="44"/>
    <x v="0"/>
    <n v="140"/>
    <n v="8222680"/>
    <n v="-8222680"/>
  </r>
  <r>
    <x v="44"/>
    <x v="0"/>
    <n v="200"/>
    <n v="42255"/>
    <n v="-42255"/>
  </r>
  <r>
    <x v="44"/>
    <x v="0"/>
    <n v="210"/>
    <n v="183755"/>
    <n v="-183755"/>
  </r>
  <r>
    <x v="44"/>
    <x v="0"/>
    <n v="220"/>
    <n v="0"/>
    <n v="0"/>
  </r>
  <r>
    <x v="44"/>
    <x v="0"/>
    <n v="230"/>
    <n v="0"/>
    <n v="0"/>
  </r>
  <r>
    <x v="44"/>
    <x v="0"/>
    <n v="298"/>
    <n v="0"/>
    <n v="0"/>
  </r>
  <r>
    <x v="44"/>
    <x v="1"/>
    <n v="1"/>
    <n v="-81712"/>
    <n v="-81712"/>
  </r>
  <r>
    <x v="44"/>
    <x v="1"/>
    <n v="10"/>
    <n v="1242460"/>
    <n v="1242460"/>
  </r>
  <r>
    <x v="44"/>
    <x v="1"/>
    <n v="20"/>
    <n v="124538"/>
    <n v="124538"/>
  </r>
  <r>
    <x v="44"/>
    <x v="1"/>
    <n v="70"/>
    <n v="0"/>
    <n v="0"/>
  </r>
  <r>
    <x v="44"/>
    <x v="1"/>
    <n v="110"/>
    <n v="0"/>
    <n v="0"/>
  </r>
  <r>
    <x v="44"/>
    <x v="1"/>
    <n v="120"/>
    <n v="4540"/>
    <n v="-4540"/>
  </r>
  <r>
    <x v="44"/>
    <x v="1"/>
    <n v="130"/>
    <n v="4120"/>
    <n v="-4120"/>
  </r>
  <r>
    <x v="44"/>
    <x v="1"/>
    <n v="140"/>
    <n v="26660"/>
    <n v="-26660"/>
  </r>
  <r>
    <x v="44"/>
    <x v="1"/>
    <n v="141"/>
    <n v="1235300"/>
    <n v="-1235300"/>
  </r>
  <r>
    <x v="44"/>
    <x v="1"/>
    <n v="200"/>
    <n v="6212"/>
    <n v="-6212"/>
  </r>
  <r>
    <x v="44"/>
    <x v="1"/>
    <n v="210"/>
    <n v="0"/>
    <n v="0"/>
  </r>
  <r>
    <x v="44"/>
    <x v="1"/>
    <n v="220"/>
    <n v="0"/>
    <n v="0"/>
  </r>
  <r>
    <x v="44"/>
    <x v="1"/>
    <n v="230"/>
    <n v="8454"/>
    <n v="-8454"/>
  </r>
  <r>
    <x v="44"/>
    <x v="1"/>
    <n v="298"/>
    <n v="0"/>
    <n v="0"/>
  </r>
  <r>
    <x v="44"/>
    <x v="2"/>
    <n v="1"/>
    <n v="435380"/>
    <n v="435380"/>
  </r>
  <r>
    <x v="44"/>
    <x v="2"/>
    <n v="10"/>
    <n v="17262400"/>
    <n v="17262400"/>
  </r>
  <r>
    <x v="44"/>
    <x v="2"/>
    <n v="20"/>
    <n v="39660"/>
    <n v="39660"/>
  </r>
  <r>
    <x v="44"/>
    <x v="2"/>
    <n v="50"/>
    <n v="0"/>
    <n v="0"/>
  </r>
  <r>
    <x v="44"/>
    <x v="2"/>
    <n v="70"/>
    <n v="0"/>
    <n v="0"/>
  </r>
  <r>
    <x v="44"/>
    <x v="2"/>
    <n v="110"/>
    <n v="8117280"/>
    <n v="-8117280"/>
  </r>
  <r>
    <x v="44"/>
    <x v="2"/>
    <n v="120"/>
    <n v="0"/>
    <n v="0"/>
  </r>
  <r>
    <x v="44"/>
    <x v="2"/>
    <n v="130"/>
    <n v="0"/>
    <n v="0"/>
  </r>
  <r>
    <x v="44"/>
    <x v="2"/>
    <n v="140"/>
    <n v="802600"/>
    <n v="-802600"/>
  </r>
  <r>
    <x v="44"/>
    <x v="2"/>
    <n v="141"/>
    <n v="1531740"/>
    <n v="-1531740"/>
  </r>
  <r>
    <x v="44"/>
    <x v="2"/>
    <n v="200"/>
    <n v="86270"/>
    <n v="-86270"/>
  </r>
  <r>
    <x v="44"/>
    <x v="2"/>
    <n v="210"/>
    <n v="28526"/>
    <n v="-28526"/>
  </r>
  <r>
    <x v="44"/>
    <x v="2"/>
    <n v="220"/>
    <n v="0"/>
    <n v="0"/>
  </r>
  <r>
    <x v="44"/>
    <x v="2"/>
    <n v="230"/>
    <n v="83793"/>
    <n v="-83793"/>
  </r>
  <r>
    <x v="44"/>
    <x v="2"/>
    <n v="270"/>
    <n v="0"/>
    <n v="0"/>
  </r>
  <r>
    <x v="44"/>
    <x v="2"/>
    <n v="298"/>
    <n v="0"/>
    <n v="0"/>
  </r>
  <r>
    <x v="44"/>
    <x v="3"/>
    <n v="1"/>
    <n v="593871"/>
    <n v="593871"/>
  </r>
  <r>
    <x v="44"/>
    <x v="3"/>
    <n v="10"/>
    <n v="10436880"/>
    <n v="10436880"/>
  </r>
  <r>
    <x v="44"/>
    <x v="3"/>
    <n v="20"/>
    <n v="0"/>
    <n v="0"/>
  </r>
  <r>
    <x v="44"/>
    <x v="3"/>
    <n v="50"/>
    <n v="0"/>
    <n v="0"/>
  </r>
  <r>
    <x v="44"/>
    <x v="3"/>
    <n v="70"/>
    <n v="0"/>
    <n v="0"/>
  </r>
  <r>
    <x v="44"/>
    <x v="3"/>
    <n v="110"/>
    <n v="276000"/>
    <n v="-276000"/>
  </r>
  <r>
    <x v="44"/>
    <x v="3"/>
    <n v="120"/>
    <n v="1081970"/>
    <n v="-1081970"/>
  </r>
  <r>
    <x v="44"/>
    <x v="3"/>
    <n v="130"/>
    <n v="14700"/>
    <n v="-14700"/>
  </r>
  <r>
    <x v="44"/>
    <x v="3"/>
    <n v="140"/>
    <n v="4509940"/>
    <n v="-4509940"/>
  </r>
  <r>
    <x v="44"/>
    <x v="3"/>
    <n v="141"/>
    <n v="5015360"/>
    <n v="-5015360"/>
  </r>
  <r>
    <x v="44"/>
    <x v="3"/>
    <n v="150"/>
    <n v="0"/>
    <n v="0"/>
  </r>
  <r>
    <x v="44"/>
    <x v="3"/>
    <n v="200"/>
    <n v="98701"/>
    <n v="-98701"/>
  </r>
  <r>
    <x v="44"/>
    <x v="3"/>
    <n v="210"/>
    <n v="5717"/>
    <n v="-5717"/>
  </r>
  <r>
    <x v="44"/>
    <x v="3"/>
    <n v="220"/>
    <n v="0"/>
    <n v="0"/>
  </r>
  <r>
    <x v="44"/>
    <x v="3"/>
    <n v="230"/>
    <n v="14693"/>
    <n v="-14693"/>
  </r>
  <r>
    <x v="44"/>
    <x v="3"/>
    <n v="298"/>
    <n v="0"/>
    <n v="0"/>
  </r>
  <r>
    <x v="44"/>
    <x v="4"/>
    <n v="1"/>
    <n v="0"/>
    <n v="0"/>
  </r>
  <r>
    <x v="44"/>
    <x v="4"/>
    <n v="10"/>
    <n v="20180"/>
    <n v="20180"/>
  </r>
  <r>
    <x v="44"/>
    <x v="4"/>
    <n v="20"/>
    <n v="505"/>
    <n v="505"/>
  </r>
  <r>
    <x v="44"/>
    <x v="4"/>
    <n v="50"/>
    <n v="0"/>
    <n v="0"/>
  </r>
  <r>
    <x v="44"/>
    <x v="4"/>
    <n v="70"/>
    <n v="0"/>
    <n v="0"/>
  </r>
  <r>
    <x v="44"/>
    <x v="4"/>
    <n v="110"/>
    <n v="0"/>
    <n v="0"/>
  </r>
  <r>
    <x v="44"/>
    <x v="4"/>
    <n v="120"/>
    <n v="0"/>
    <n v="0"/>
  </r>
  <r>
    <x v="44"/>
    <x v="4"/>
    <n v="140"/>
    <n v="20260"/>
    <n v="-20260"/>
  </r>
  <r>
    <x v="44"/>
    <x v="4"/>
    <n v="200"/>
    <n v="0"/>
    <n v="0"/>
  </r>
  <r>
    <x v="44"/>
    <x v="4"/>
    <n v="210"/>
    <n v="425"/>
    <n v="-425"/>
  </r>
  <r>
    <x v="44"/>
    <x v="4"/>
    <n v="220"/>
    <n v="0"/>
    <n v="0"/>
  </r>
  <r>
    <x v="44"/>
    <x v="4"/>
    <n v="230"/>
    <n v="0"/>
    <n v="0"/>
  </r>
  <r>
    <x v="45"/>
    <x v="0"/>
    <n v="1"/>
    <n v="2773610"/>
    <n v="2773610"/>
  </r>
  <r>
    <x v="45"/>
    <x v="0"/>
    <n v="10"/>
    <n v="13608940"/>
    <n v="13608940"/>
  </r>
  <r>
    <x v="45"/>
    <x v="0"/>
    <n v="20"/>
    <n v="0"/>
    <n v="0"/>
  </r>
  <r>
    <x v="45"/>
    <x v="0"/>
    <n v="50"/>
    <n v="0"/>
    <n v="0"/>
  </r>
  <r>
    <x v="45"/>
    <x v="0"/>
    <n v="70"/>
    <n v="0"/>
    <n v="0"/>
  </r>
  <r>
    <x v="45"/>
    <x v="0"/>
    <n v="100"/>
    <n v="0"/>
    <n v="0"/>
  </r>
  <r>
    <x v="45"/>
    <x v="0"/>
    <n v="110"/>
    <n v="0"/>
    <n v="0"/>
  </r>
  <r>
    <x v="45"/>
    <x v="0"/>
    <n v="120"/>
    <n v="0"/>
    <n v="0"/>
  </r>
  <r>
    <x v="45"/>
    <x v="0"/>
    <n v="130"/>
    <n v="195940"/>
    <n v="-195940"/>
  </r>
  <r>
    <x v="45"/>
    <x v="0"/>
    <n v="140"/>
    <n v="3616240"/>
    <n v="-3616240"/>
  </r>
  <r>
    <x v="45"/>
    <x v="0"/>
    <n v="200"/>
    <n v="68032"/>
    <n v="-68032"/>
  </r>
  <r>
    <x v="45"/>
    <x v="0"/>
    <n v="210"/>
    <n v="89552"/>
    <n v="-89552"/>
  </r>
  <r>
    <x v="45"/>
    <x v="0"/>
    <n v="230"/>
    <n v="0"/>
    <n v="0"/>
  </r>
  <r>
    <x v="45"/>
    <x v="0"/>
    <n v="298"/>
    <n v="0"/>
    <n v="0"/>
  </r>
  <r>
    <x v="45"/>
    <x v="1"/>
    <n v="1"/>
    <n v="0"/>
    <n v="0"/>
  </r>
  <r>
    <x v="45"/>
    <x v="1"/>
    <n v="10"/>
    <n v="430860"/>
    <n v="430860"/>
  </r>
  <r>
    <x v="45"/>
    <x v="1"/>
    <n v="20"/>
    <n v="0"/>
    <n v="0"/>
  </r>
  <r>
    <x v="45"/>
    <x v="1"/>
    <n v="50"/>
    <n v="0"/>
    <n v="0"/>
  </r>
  <r>
    <x v="45"/>
    <x v="1"/>
    <n v="70"/>
    <n v="0"/>
    <n v="0"/>
  </r>
  <r>
    <x v="45"/>
    <x v="1"/>
    <n v="110"/>
    <n v="0"/>
    <n v="0"/>
  </r>
  <r>
    <x v="45"/>
    <x v="1"/>
    <n v="120"/>
    <n v="0"/>
    <n v="0"/>
  </r>
  <r>
    <x v="45"/>
    <x v="1"/>
    <n v="130"/>
    <n v="0"/>
    <n v="0"/>
  </r>
  <r>
    <x v="45"/>
    <x v="1"/>
    <n v="140"/>
    <n v="46720"/>
    <n v="-46720"/>
  </r>
  <r>
    <x v="45"/>
    <x v="1"/>
    <n v="141"/>
    <n v="350680"/>
    <n v="-350680"/>
  </r>
  <r>
    <x v="45"/>
    <x v="1"/>
    <n v="200"/>
    <n v="1981"/>
    <n v="-1981"/>
  </r>
  <r>
    <x v="45"/>
    <x v="1"/>
    <n v="210"/>
    <n v="0"/>
    <n v="0"/>
  </r>
  <r>
    <x v="45"/>
    <x v="1"/>
    <n v="220"/>
    <n v="22235"/>
    <n v="-22235"/>
  </r>
  <r>
    <x v="45"/>
    <x v="1"/>
    <n v="230"/>
    <n v="9244"/>
    <n v="-9244"/>
  </r>
  <r>
    <x v="45"/>
    <x v="1"/>
    <n v="298"/>
    <n v="0"/>
    <n v="0"/>
  </r>
  <r>
    <x v="45"/>
    <x v="2"/>
    <n v="1"/>
    <n v="8943077"/>
    <n v="8943077"/>
  </r>
  <r>
    <x v="45"/>
    <x v="2"/>
    <n v="10"/>
    <n v="12249720"/>
    <n v="12249720"/>
  </r>
  <r>
    <x v="45"/>
    <x v="2"/>
    <n v="20"/>
    <n v="54103"/>
    <n v="54103"/>
  </r>
  <r>
    <x v="45"/>
    <x v="2"/>
    <n v="50"/>
    <n v="0"/>
    <n v="0"/>
  </r>
  <r>
    <x v="45"/>
    <x v="2"/>
    <n v="70"/>
    <n v="0"/>
    <n v="0"/>
  </r>
  <r>
    <x v="45"/>
    <x v="2"/>
    <n v="110"/>
    <n v="10887500"/>
    <n v="-10887500"/>
  </r>
  <r>
    <x v="45"/>
    <x v="2"/>
    <n v="120"/>
    <n v="0"/>
    <n v="0"/>
  </r>
  <r>
    <x v="45"/>
    <x v="2"/>
    <n v="130"/>
    <n v="0"/>
    <n v="0"/>
  </r>
  <r>
    <x v="45"/>
    <x v="2"/>
    <n v="140"/>
    <n v="298460"/>
    <n v="-298460"/>
  </r>
  <r>
    <x v="45"/>
    <x v="2"/>
    <n v="141"/>
    <n v="2149200"/>
    <n v="-2149200"/>
  </r>
  <r>
    <x v="45"/>
    <x v="2"/>
    <n v="200"/>
    <n v="60511"/>
    <n v="-60511"/>
  </r>
  <r>
    <x v="45"/>
    <x v="2"/>
    <n v="210"/>
    <n v="254"/>
    <n v="-254"/>
  </r>
  <r>
    <x v="45"/>
    <x v="2"/>
    <n v="220"/>
    <n v="0"/>
    <n v="0"/>
  </r>
  <r>
    <x v="45"/>
    <x v="2"/>
    <n v="230"/>
    <n v="18424"/>
    <n v="-18424"/>
  </r>
  <r>
    <x v="45"/>
    <x v="2"/>
    <n v="298"/>
    <n v="0"/>
    <n v="0"/>
  </r>
  <r>
    <x v="45"/>
    <x v="3"/>
    <n v="1"/>
    <n v="3766561"/>
    <n v="3766561"/>
  </r>
  <r>
    <x v="45"/>
    <x v="3"/>
    <n v="10"/>
    <n v="7368220"/>
    <n v="7368220"/>
  </r>
  <r>
    <x v="45"/>
    <x v="3"/>
    <n v="20"/>
    <n v="45074"/>
    <n v="45074"/>
  </r>
  <r>
    <x v="45"/>
    <x v="3"/>
    <n v="50"/>
    <n v="0"/>
    <n v="0"/>
  </r>
  <r>
    <x v="45"/>
    <x v="3"/>
    <n v="70"/>
    <n v="0"/>
    <n v="0"/>
  </r>
  <r>
    <x v="45"/>
    <x v="3"/>
    <n v="110"/>
    <n v="2196740"/>
    <n v="-2196740"/>
  </r>
  <r>
    <x v="45"/>
    <x v="3"/>
    <n v="120"/>
    <n v="0"/>
    <n v="0"/>
  </r>
  <r>
    <x v="45"/>
    <x v="3"/>
    <n v="130"/>
    <n v="107160"/>
    <n v="-107160"/>
  </r>
  <r>
    <x v="45"/>
    <x v="3"/>
    <n v="140"/>
    <n v="2039700"/>
    <n v="-2039700"/>
  </r>
  <r>
    <x v="45"/>
    <x v="3"/>
    <n v="141"/>
    <n v="6747960"/>
    <n v="-6747960"/>
  </r>
  <r>
    <x v="45"/>
    <x v="3"/>
    <n v="200"/>
    <n v="73682"/>
    <n v="-73682"/>
  </r>
  <r>
    <x v="45"/>
    <x v="3"/>
    <n v="210"/>
    <n v="3850"/>
    <n v="-3850"/>
  </r>
  <r>
    <x v="45"/>
    <x v="3"/>
    <n v="220"/>
    <n v="6761"/>
    <n v="-6761"/>
  </r>
  <r>
    <x v="45"/>
    <x v="3"/>
    <n v="230"/>
    <n v="4002"/>
    <n v="-4002"/>
  </r>
  <r>
    <x v="45"/>
    <x v="3"/>
    <n v="298"/>
    <n v="0"/>
    <n v="0"/>
  </r>
  <r>
    <x v="45"/>
    <x v="4"/>
    <n v="1"/>
    <n v="0"/>
    <n v="0"/>
  </r>
  <r>
    <x v="45"/>
    <x v="4"/>
    <n v="10"/>
    <n v="31260"/>
    <n v="31260"/>
  </r>
  <r>
    <x v="45"/>
    <x v="4"/>
    <n v="20"/>
    <n v="1095"/>
    <n v="1095"/>
  </r>
  <r>
    <x v="45"/>
    <x v="4"/>
    <n v="50"/>
    <n v="20260"/>
    <n v="20260"/>
  </r>
  <r>
    <x v="45"/>
    <x v="4"/>
    <n v="70"/>
    <n v="0"/>
    <n v="0"/>
  </r>
  <r>
    <x v="45"/>
    <x v="4"/>
    <n v="110"/>
    <n v="51160"/>
    <n v="-51160"/>
  </r>
  <r>
    <x v="45"/>
    <x v="4"/>
    <n v="120"/>
    <n v="0"/>
    <n v="0"/>
  </r>
  <r>
    <x v="45"/>
    <x v="4"/>
    <n v="130"/>
    <n v="0"/>
    <n v="0"/>
  </r>
  <r>
    <x v="45"/>
    <x v="4"/>
    <n v="140"/>
    <n v="0"/>
    <n v="0"/>
  </r>
  <r>
    <x v="45"/>
    <x v="4"/>
    <n v="200"/>
    <n v="0"/>
    <n v="0"/>
  </r>
  <r>
    <x v="45"/>
    <x v="4"/>
    <n v="210"/>
    <n v="1095"/>
    <n v="-1095"/>
  </r>
  <r>
    <x v="45"/>
    <x v="4"/>
    <n v="220"/>
    <n v="360"/>
    <n v="-360"/>
  </r>
  <r>
    <x v="45"/>
    <x v="4"/>
    <n v="230"/>
    <n v="0"/>
    <n v="0"/>
  </r>
  <r>
    <x v="46"/>
    <x v="0"/>
    <n v="1"/>
    <n v="7162353"/>
    <n v="7162353"/>
  </r>
  <r>
    <x v="46"/>
    <x v="0"/>
    <n v="10"/>
    <n v="5697560"/>
    <n v="5697560"/>
  </r>
  <r>
    <x v="46"/>
    <x v="0"/>
    <n v="20"/>
    <n v="0"/>
    <n v="0"/>
  </r>
  <r>
    <x v="46"/>
    <x v="0"/>
    <n v="50"/>
    <n v="0"/>
    <n v="0"/>
  </r>
  <r>
    <x v="46"/>
    <x v="0"/>
    <n v="70"/>
    <n v="0"/>
    <n v="0"/>
  </r>
  <r>
    <x v="46"/>
    <x v="0"/>
    <n v="110"/>
    <n v="0"/>
    <n v="0"/>
  </r>
  <r>
    <x v="46"/>
    <x v="0"/>
    <n v="120"/>
    <n v="0"/>
    <n v="0"/>
  </r>
  <r>
    <x v="46"/>
    <x v="0"/>
    <n v="130"/>
    <n v="0"/>
    <n v="0"/>
  </r>
  <r>
    <x v="46"/>
    <x v="0"/>
    <n v="140"/>
    <n v="0"/>
    <n v="0"/>
  </r>
  <r>
    <x v="46"/>
    <x v="0"/>
    <n v="200"/>
    <n v="28447"/>
    <n v="-28447"/>
  </r>
  <r>
    <x v="46"/>
    <x v="0"/>
    <n v="210"/>
    <n v="32696"/>
    <n v="-32696"/>
  </r>
  <r>
    <x v="46"/>
    <x v="0"/>
    <n v="220"/>
    <n v="0"/>
    <n v="0"/>
  </r>
  <r>
    <x v="46"/>
    <x v="0"/>
    <n v="230"/>
    <n v="0"/>
    <n v="0"/>
  </r>
  <r>
    <x v="46"/>
    <x v="0"/>
    <n v="298"/>
    <n v="0"/>
    <n v="0"/>
  </r>
  <r>
    <x v="46"/>
    <x v="1"/>
    <n v="1"/>
    <n v="2130089"/>
    <n v="2130089"/>
  </r>
  <r>
    <x v="46"/>
    <x v="1"/>
    <n v="10"/>
    <n v="765640"/>
    <n v="765640"/>
  </r>
  <r>
    <x v="46"/>
    <x v="1"/>
    <n v="20"/>
    <n v="17986"/>
    <n v="17986"/>
  </r>
  <r>
    <x v="46"/>
    <x v="1"/>
    <n v="50"/>
    <n v="147540"/>
    <n v="147540"/>
  </r>
  <r>
    <x v="46"/>
    <x v="1"/>
    <n v="70"/>
    <n v="0"/>
    <n v="0"/>
  </r>
  <r>
    <x v="46"/>
    <x v="1"/>
    <n v="110"/>
    <n v="0"/>
    <n v="0"/>
  </r>
  <r>
    <x v="46"/>
    <x v="1"/>
    <n v="120"/>
    <n v="0"/>
    <n v="0"/>
  </r>
  <r>
    <x v="46"/>
    <x v="1"/>
    <n v="130"/>
    <n v="0"/>
    <n v="0"/>
  </r>
  <r>
    <x v="46"/>
    <x v="1"/>
    <n v="140"/>
    <n v="41780"/>
    <n v="-41780"/>
  </r>
  <r>
    <x v="46"/>
    <x v="1"/>
    <n v="141"/>
    <n v="3009300"/>
    <n v="-3009300"/>
  </r>
  <r>
    <x v="46"/>
    <x v="1"/>
    <n v="200"/>
    <n v="3828"/>
    <n v="-3828"/>
  </r>
  <r>
    <x v="46"/>
    <x v="1"/>
    <n v="210"/>
    <n v="0"/>
    <n v="0"/>
  </r>
  <r>
    <x v="46"/>
    <x v="1"/>
    <n v="220"/>
    <n v="0"/>
    <n v="0"/>
  </r>
  <r>
    <x v="46"/>
    <x v="1"/>
    <n v="230"/>
    <n v="12680"/>
    <n v="-12680"/>
  </r>
  <r>
    <x v="46"/>
    <x v="1"/>
    <n v="298"/>
    <n v="0"/>
    <n v="0"/>
  </r>
  <r>
    <x v="46"/>
    <x v="2"/>
    <n v="1"/>
    <n v="17323097"/>
    <n v="17323097"/>
  </r>
  <r>
    <x v="46"/>
    <x v="2"/>
    <n v="10"/>
    <n v="28551000"/>
    <n v="28551000"/>
  </r>
  <r>
    <x v="46"/>
    <x v="2"/>
    <n v="20"/>
    <n v="5893"/>
    <n v="5893"/>
  </r>
  <r>
    <x v="46"/>
    <x v="2"/>
    <n v="50"/>
    <n v="0"/>
    <n v="0"/>
  </r>
  <r>
    <x v="46"/>
    <x v="2"/>
    <n v="70"/>
    <n v="0"/>
    <n v="0"/>
  </r>
  <r>
    <x v="46"/>
    <x v="2"/>
    <n v="110"/>
    <n v="19059260"/>
    <n v="-19059260"/>
  </r>
  <r>
    <x v="46"/>
    <x v="2"/>
    <n v="130"/>
    <n v="51320"/>
    <n v="-51320"/>
  </r>
  <r>
    <x v="46"/>
    <x v="2"/>
    <n v="140"/>
    <n v="2418200"/>
    <n v="-2418200"/>
  </r>
  <r>
    <x v="46"/>
    <x v="2"/>
    <n v="141"/>
    <n v="4200740"/>
    <n v="-4200740"/>
  </r>
  <r>
    <x v="46"/>
    <x v="2"/>
    <n v="200"/>
    <n v="142607"/>
    <n v="-142607"/>
  </r>
  <r>
    <x v="46"/>
    <x v="2"/>
    <n v="210"/>
    <n v="7934"/>
    <n v="-7934"/>
  </r>
  <r>
    <x v="46"/>
    <x v="2"/>
    <n v="220"/>
    <n v="0"/>
    <n v="0"/>
  </r>
  <r>
    <x v="46"/>
    <x v="2"/>
    <n v="230"/>
    <n v="48019"/>
    <n v="-48019"/>
  </r>
  <r>
    <x v="46"/>
    <x v="2"/>
    <n v="298"/>
    <n v="0"/>
    <n v="0"/>
  </r>
  <r>
    <x v="46"/>
    <x v="3"/>
    <n v="1"/>
    <n v="20335036"/>
    <n v="20335036"/>
  </r>
  <r>
    <x v="46"/>
    <x v="3"/>
    <n v="10"/>
    <n v="19590280"/>
    <n v="19590280"/>
  </r>
  <r>
    <x v="46"/>
    <x v="3"/>
    <n v="20"/>
    <n v="0"/>
    <n v="0"/>
  </r>
  <r>
    <x v="46"/>
    <x v="3"/>
    <n v="50"/>
    <n v="0"/>
    <n v="0"/>
  </r>
  <r>
    <x v="46"/>
    <x v="3"/>
    <n v="70"/>
    <n v="0"/>
    <n v="0"/>
  </r>
  <r>
    <x v="46"/>
    <x v="3"/>
    <n v="110"/>
    <n v="7398360"/>
    <n v="-7398360"/>
  </r>
  <r>
    <x v="46"/>
    <x v="3"/>
    <n v="120"/>
    <n v="2691700"/>
    <n v="-2691700"/>
  </r>
  <r>
    <x v="46"/>
    <x v="3"/>
    <n v="130"/>
    <n v="1459760"/>
    <n v="-1459760"/>
  </r>
  <r>
    <x v="46"/>
    <x v="3"/>
    <n v="140"/>
    <n v="0"/>
    <n v="0"/>
  </r>
  <r>
    <x v="46"/>
    <x v="3"/>
    <n v="141"/>
    <n v="10441260"/>
    <n v="-10441260"/>
  </r>
  <r>
    <x v="46"/>
    <x v="3"/>
    <n v="200"/>
    <n v="193266"/>
    <n v="-193266"/>
  </r>
  <r>
    <x v="46"/>
    <x v="3"/>
    <n v="210"/>
    <n v="1335"/>
    <n v="-1335"/>
  </r>
  <r>
    <x v="46"/>
    <x v="3"/>
    <n v="220"/>
    <n v="0"/>
    <n v="0"/>
  </r>
  <r>
    <x v="46"/>
    <x v="3"/>
    <n v="230"/>
    <n v="4735"/>
    <n v="-4735"/>
  </r>
  <r>
    <x v="46"/>
    <x v="3"/>
    <n v="298"/>
    <n v="0"/>
    <n v="0"/>
  </r>
  <r>
    <x v="46"/>
    <x v="4"/>
    <n v="1"/>
    <n v="0"/>
    <n v="0"/>
  </r>
  <r>
    <x v="46"/>
    <x v="4"/>
    <n v="10"/>
    <n v="0"/>
    <n v="0"/>
  </r>
  <r>
    <x v="46"/>
    <x v="4"/>
    <n v="20"/>
    <n v="0"/>
    <n v="0"/>
  </r>
  <r>
    <x v="46"/>
    <x v="4"/>
    <n v="110"/>
    <n v="0"/>
    <n v="0"/>
  </r>
  <r>
    <x v="46"/>
    <x v="4"/>
    <n v="210"/>
    <n v="0"/>
    <n v="0"/>
  </r>
  <r>
    <x v="46"/>
    <x v="4"/>
    <n v="230"/>
    <n v="0"/>
    <n v="0"/>
  </r>
  <r>
    <x v="47"/>
    <x v="0"/>
    <n v="1"/>
    <n v="0"/>
    <n v="0"/>
  </r>
  <r>
    <x v="47"/>
    <x v="0"/>
    <n v="10"/>
    <n v="0"/>
    <n v="0"/>
  </r>
  <r>
    <x v="47"/>
    <x v="0"/>
    <n v="20"/>
    <n v="0"/>
    <n v="0"/>
  </r>
  <r>
    <x v="47"/>
    <x v="0"/>
    <n v="50"/>
    <n v="0"/>
    <n v="0"/>
  </r>
  <r>
    <x v="47"/>
    <x v="0"/>
    <n v="70"/>
    <n v="0"/>
    <n v="0"/>
  </r>
  <r>
    <x v="47"/>
    <x v="0"/>
    <n v="110"/>
    <n v="0"/>
    <n v="0"/>
  </r>
  <r>
    <x v="47"/>
    <x v="0"/>
    <n v="120"/>
    <n v="0"/>
    <n v="0"/>
  </r>
  <r>
    <x v="47"/>
    <x v="0"/>
    <n v="130"/>
    <n v="0"/>
    <n v="0"/>
  </r>
  <r>
    <x v="47"/>
    <x v="0"/>
    <n v="140"/>
    <n v="0"/>
    <n v="0"/>
  </r>
  <r>
    <x v="47"/>
    <x v="0"/>
    <n v="200"/>
    <n v="0"/>
    <n v="0"/>
  </r>
  <r>
    <x v="47"/>
    <x v="0"/>
    <n v="210"/>
    <n v="0"/>
    <n v="0"/>
  </r>
  <r>
    <x v="47"/>
    <x v="0"/>
    <n v="220"/>
    <n v="0"/>
    <n v="0"/>
  </r>
  <r>
    <x v="47"/>
    <x v="0"/>
    <n v="230"/>
    <n v="0"/>
    <n v="0"/>
  </r>
  <r>
    <x v="47"/>
    <x v="0"/>
    <n v="298"/>
    <n v="0"/>
    <n v="0"/>
  </r>
  <r>
    <x v="47"/>
    <x v="1"/>
    <n v="1"/>
    <n v="0"/>
    <n v="0"/>
  </r>
  <r>
    <x v="47"/>
    <x v="1"/>
    <n v="10"/>
    <n v="0"/>
    <n v="0"/>
  </r>
  <r>
    <x v="47"/>
    <x v="1"/>
    <n v="20"/>
    <n v="0"/>
    <n v="0"/>
  </r>
  <r>
    <x v="47"/>
    <x v="1"/>
    <n v="50"/>
    <n v="0"/>
    <n v="0"/>
  </r>
  <r>
    <x v="47"/>
    <x v="1"/>
    <n v="70"/>
    <n v="0"/>
    <n v="0"/>
  </r>
  <r>
    <x v="47"/>
    <x v="1"/>
    <n v="110"/>
    <n v="0"/>
    <n v="0"/>
  </r>
  <r>
    <x v="47"/>
    <x v="1"/>
    <n v="120"/>
    <n v="0"/>
    <n v="0"/>
  </r>
  <r>
    <x v="47"/>
    <x v="1"/>
    <n v="130"/>
    <n v="0"/>
    <n v="0"/>
  </r>
  <r>
    <x v="47"/>
    <x v="1"/>
    <n v="140"/>
    <n v="0"/>
    <n v="0"/>
  </r>
  <r>
    <x v="47"/>
    <x v="1"/>
    <n v="200"/>
    <n v="0"/>
    <n v="0"/>
  </r>
  <r>
    <x v="47"/>
    <x v="1"/>
    <n v="210"/>
    <n v="0"/>
    <n v="0"/>
  </r>
  <r>
    <x v="47"/>
    <x v="1"/>
    <n v="220"/>
    <n v="0"/>
    <n v="0"/>
  </r>
  <r>
    <x v="47"/>
    <x v="1"/>
    <n v="230"/>
    <n v="0"/>
    <n v="0"/>
  </r>
  <r>
    <x v="47"/>
    <x v="1"/>
    <n v="298"/>
    <n v="0"/>
    <n v="0"/>
  </r>
  <r>
    <x v="47"/>
    <x v="2"/>
    <n v="1"/>
    <n v="0"/>
    <n v="0"/>
  </r>
  <r>
    <x v="47"/>
    <x v="2"/>
    <n v="10"/>
    <n v="0"/>
    <n v="0"/>
  </r>
  <r>
    <x v="47"/>
    <x v="2"/>
    <n v="20"/>
    <n v="0"/>
    <n v="0"/>
  </r>
  <r>
    <x v="47"/>
    <x v="2"/>
    <n v="50"/>
    <n v="0"/>
    <n v="0"/>
  </r>
  <r>
    <x v="47"/>
    <x v="2"/>
    <n v="70"/>
    <n v="0"/>
    <n v="0"/>
  </r>
  <r>
    <x v="47"/>
    <x v="2"/>
    <n v="110"/>
    <n v="0"/>
    <n v="0"/>
  </r>
  <r>
    <x v="47"/>
    <x v="2"/>
    <n v="140"/>
    <n v="0"/>
    <n v="0"/>
  </r>
  <r>
    <x v="47"/>
    <x v="2"/>
    <n v="200"/>
    <n v="0"/>
    <n v="0"/>
  </r>
  <r>
    <x v="47"/>
    <x v="2"/>
    <n v="210"/>
    <n v="0"/>
    <n v="0"/>
  </r>
  <r>
    <x v="47"/>
    <x v="2"/>
    <n v="220"/>
    <n v="0"/>
    <n v="0"/>
  </r>
  <r>
    <x v="47"/>
    <x v="2"/>
    <n v="230"/>
    <n v="0"/>
    <n v="0"/>
  </r>
  <r>
    <x v="47"/>
    <x v="2"/>
    <n v="270"/>
    <n v="0"/>
    <n v="0"/>
  </r>
  <r>
    <x v="47"/>
    <x v="2"/>
    <n v="298"/>
    <n v="0"/>
    <n v="0"/>
  </r>
  <r>
    <x v="47"/>
    <x v="3"/>
    <n v="1"/>
    <n v="0"/>
    <n v="0"/>
  </r>
  <r>
    <x v="47"/>
    <x v="3"/>
    <n v="10"/>
    <n v="0"/>
    <n v="0"/>
  </r>
  <r>
    <x v="47"/>
    <x v="3"/>
    <n v="20"/>
    <n v="0"/>
    <n v="0"/>
  </r>
  <r>
    <x v="47"/>
    <x v="3"/>
    <n v="70"/>
    <n v="0"/>
    <n v="0"/>
  </r>
  <r>
    <x v="47"/>
    <x v="3"/>
    <n v="110"/>
    <n v="0"/>
    <n v="0"/>
  </r>
  <r>
    <x v="47"/>
    <x v="3"/>
    <n v="120"/>
    <n v="0"/>
    <n v="0"/>
  </r>
  <r>
    <x v="47"/>
    <x v="3"/>
    <n v="130"/>
    <n v="0"/>
    <n v="0"/>
  </r>
  <r>
    <x v="47"/>
    <x v="3"/>
    <n v="140"/>
    <n v="0"/>
    <n v="0"/>
  </r>
  <r>
    <x v="47"/>
    <x v="3"/>
    <n v="200"/>
    <n v="0"/>
    <n v="0"/>
  </r>
  <r>
    <x v="47"/>
    <x v="3"/>
    <n v="230"/>
    <n v="0"/>
    <n v="0"/>
  </r>
  <r>
    <x v="47"/>
    <x v="4"/>
    <n v="1"/>
    <n v="0"/>
    <n v="0"/>
  </r>
  <r>
    <x v="47"/>
    <x v="4"/>
    <n v="10"/>
    <n v="0"/>
    <n v="0"/>
  </r>
  <r>
    <x v="47"/>
    <x v="4"/>
    <n v="20"/>
    <n v="0"/>
    <n v="0"/>
  </r>
  <r>
    <x v="47"/>
    <x v="4"/>
    <n v="110"/>
    <n v="0"/>
    <n v="0"/>
  </r>
  <r>
    <x v="47"/>
    <x v="4"/>
    <n v="120"/>
    <n v="0"/>
    <n v="0"/>
  </r>
  <r>
    <x v="47"/>
    <x v="4"/>
    <n v="140"/>
    <n v="0"/>
    <n v="0"/>
  </r>
  <r>
    <x v="47"/>
    <x v="4"/>
    <n v="210"/>
    <n v="0"/>
    <n v="0"/>
  </r>
  <r>
    <x v="48"/>
    <x v="1"/>
    <n v="10"/>
    <n v="0"/>
    <n v="0"/>
  </r>
  <r>
    <x v="48"/>
    <x v="3"/>
    <n v="1"/>
    <n v="28741116"/>
    <n v="28741116"/>
  </r>
  <r>
    <x v="48"/>
    <x v="3"/>
    <n v="10"/>
    <n v="1067840"/>
    <n v="1067840"/>
  </r>
  <r>
    <x v="48"/>
    <x v="3"/>
    <n v="50"/>
    <n v="28670040"/>
    <n v="28670040"/>
  </r>
  <r>
    <x v="48"/>
    <x v="3"/>
    <n v="70"/>
    <n v="-609876"/>
    <n v="-609876"/>
  </r>
  <r>
    <x v="48"/>
    <x v="3"/>
    <n v="110"/>
    <n v="9793300"/>
    <n v="-9793300"/>
  </r>
  <r>
    <x v="48"/>
    <x v="3"/>
    <n v="120"/>
    <n v="1200"/>
    <n v="-1200"/>
  </r>
  <r>
    <x v="48"/>
    <x v="3"/>
    <n v="140"/>
    <n v="5197560"/>
    <n v="-5197560"/>
  </r>
  <r>
    <x v="48"/>
    <x v="3"/>
    <n v="141"/>
    <n v="24914260"/>
    <n v="-24914260"/>
  </r>
  <r>
    <x v="48"/>
    <x v="3"/>
    <n v="200"/>
    <n v="10678"/>
    <n v="-10678"/>
  </r>
  <r>
    <x v="48"/>
    <x v="3"/>
    <n v="210"/>
    <n v="0"/>
    <n v="0"/>
  </r>
  <r>
    <x v="48"/>
    <x v="3"/>
    <n v="230"/>
    <n v="0"/>
    <n v="0"/>
  </r>
  <r>
    <x v="49"/>
    <x v="0"/>
    <n v="1"/>
    <n v="0"/>
    <n v="0"/>
  </r>
  <r>
    <x v="49"/>
    <x v="0"/>
    <n v="10"/>
    <n v="20455480"/>
    <n v="20455480"/>
  </r>
  <r>
    <x v="49"/>
    <x v="0"/>
    <n v="20"/>
    <n v="156036"/>
    <n v="156036"/>
  </r>
  <r>
    <x v="49"/>
    <x v="0"/>
    <n v="50"/>
    <n v="0"/>
    <n v="0"/>
  </r>
  <r>
    <x v="49"/>
    <x v="0"/>
    <n v="70"/>
    <n v="0"/>
    <n v="0"/>
  </r>
  <r>
    <x v="49"/>
    <x v="0"/>
    <n v="110"/>
    <n v="211420"/>
    <n v="-211420"/>
  </r>
  <r>
    <x v="49"/>
    <x v="0"/>
    <n v="120"/>
    <n v="1100"/>
    <n v="-1100"/>
  </r>
  <r>
    <x v="49"/>
    <x v="0"/>
    <n v="130"/>
    <n v="0"/>
    <n v="0"/>
  </r>
  <r>
    <x v="49"/>
    <x v="0"/>
    <n v="140"/>
    <n v="20126380"/>
    <n v="-20126380"/>
  </r>
  <r>
    <x v="49"/>
    <x v="0"/>
    <n v="141"/>
    <n v="52700"/>
    <n v="-52700"/>
  </r>
  <r>
    <x v="49"/>
    <x v="0"/>
    <n v="200"/>
    <n v="101016"/>
    <n v="-101016"/>
  </r>
  <r>
    <x v="49"/>
    <x v="0"/>
    <n v="210"/>
    <n v="118900"/>
    <n v="-118900"/>
  </r>
  <r>
    <x v="49"/>
    <x v="0"/>
    <n v="230"/>
    <n v="0"/>
    <n v="0"/>
  </r>
  <r>
    <x v="49"/>
    <x v="0"/>
    <n v="298"/>
    <n v="0"/>
    <n v="0"/>
  </r>
  <r>
    <x v="49"/>
    <x v="1"/>
    <n v="1"/>
    <n v="0"/>
    <n v="0"/>
  </r>
  <r>
    <x v="49"/>
    <x v="1"/>
    <n v="10"/>
    <n v="1821220"/>
    <n v="1821220"/>
  </r>
  <r>
    <x v="49"/>
    <x v="1"/>
    <n v="20"/>
    <n v="13024"/>
    <n v="13024"/>
  </r>
  <r>
    <x v="49"/>
    <x v="1"/>
    <n v="70"/>
    <n v="0"/>
    <n v="0"/>
  </r>
  <r>
    <x v="49"/>
    <x v="1"/>
    <n v="110"/>
    <n v="0"/>
    <n v="0"/>
  </r>
  <r>
    <x v="49"/>
    <x v="1"/>
    <n v="120"/>
    <n v="12440"/>
    <n v="-12440"/>
  </r>
  <r>
    <x v="49"/>
    <x v="1"/>
    <n v="130"/>
    <n v="0"/>
    <n v="0"/>
  </r>
  <r>
    <x v="49"/>
    <x v="1"/>
    <n v="140"/>
    <n v="246320"/>
    <n v="-246320"/>
  </r>
  <r>
    <x v="49"/>
    <x v="1"/>
    <n v="141"/>
    <n v="1560580"/>
    <n v="-1560580"/>
  </r>
  <r>
    <x v="49"/>
    <x v="1"/>
    <n v="200"/>
    <n v="9106"/>
    <n v="-9106"/>
  </r>
  <r>
    <x v="49"/>
    <x v="1"/>
    <n v="210"/>
    <n v="0"/>
    <n v="0"/>
  </r>
  <r>
    <x v="49"/>
    <x v="1"/>
    <n v="230"/>
    <n v="14904"/>
    <n v="-14904"/>
  </r>
  <r>
    <x v="49"/>
    <x v="1"/>
    <n v="298"/>
    <n v="0"/>
    <n v="0"/>
  </r>
  <r>
    <x v="49"/>
    <x v="2"/>
    <n v="1"/>
    <n v="14659388"/>
    <n v="14659388"/>
  </r>
  <r>
    <x v="49"/>
    <x v="2"/>
    <n v="10"/>
    <n v="43624920"/>
    <n v="43624920"/>
  </r>
  <r>
    <x v="49"/>
    <x v="2"/>
    <n v="20"/>
    <n v="114232"/>
    <n v="114232"/>
  </r>
  <r>
    <x v="49"/>
    <x v="2"/>
    <n v="50"/>
    <n v="0"/>
    <n v="0"/>
  </r>
  <r>
    <x v="49"/>
    <x v="2"/>
    <n v="70"/>
    <n v="0"/>
    <n v="0"/>
  </r>
  <r>
    <x v="49"/>
    <x v="2"/>
    <n v="110"/>
    <n v="25506700"/>
    <n v="-25506700"/>
  </r>
  <r>
    <x v="49"/>
    <x v="2"/>
    <n v="120"/>
    <n v="0"/>
    <n v="0"/>
  </r>
  <r>
    <x v="49"/>
    <x v="2"/>
    <n v="130"/>
    <n v="252260"/>
    <n v="-252260"/>
  </r>
  <r>
    <x v="49"/>
    <x v="2"/>
    <n v="140"/>
    <n v="78500"/>
    <n v="-78500"/>
  </r>
  <r>
    <x v="49"/>
    <x v="2"/>
    <n v="141"/>
    <n v="1175520"/>
    <n v="-1175520"/>
  </r>
  <r>
    <x v="49"/>
    <x v="2"/>
    <n v="200"/>
    <n v="214426"/>
    <n v="-214426"/>
  </r>
  <r>
    <x v="49"/>
    <x v="2"/>
    <n v="210"/>
    <n v="53889"/>
    <n v="-53889"/>
  </r>
  <r>
    <x v="49"/>
    <x v="2"/>
    <n v="220"/>
    <n v="0"/>
    <n v="0"/>
  </r>
  <r>
    <x v="49"/>
    <x v="2"/>
    <n v="230"/>
    <n v="104943"/>
    <n v="-104943"/>
  </r>
  <r>
    <x v="49"/>
    <x v="2"/>
    <n v="270"/>
    <n v="0"/>
    <n v="0"/>
  </r>
  <r>
    <x v="49"/>
    <x v="2"/>
    <n v="298"/>
    <n v="0"/>
    <n v="0"/>
  </r>
  <r>
    <x v="49"/>
    <x v="3"/>
    <n v="1"/>
    <n v="16307803"/>
    <n v="16307803"/>
  </r>
  <r>
    <x v="49"/>
    <x v="3"/>
    <n v="10"/>
    <n v="54634580"/>
    <n v="54634580"/>
  </r>
  <r>
    <x v="49"/>
    <x v="3"/>
    <n v="20"/>
    <n v="0"/>
    <n v="0"/>
  </r>
  <r>
    <x v="49"/>
    <x v="3"/>
    <n v="50"/>
    <n v="4257840"/>
    <n v="4257840"/>
  </r>
  <r>
    <x v="49"/>
    <x v="3"/>
    <n v="70"/>
    <n v="609876"/>
    <n v="609876"/>
  </r>
  <r>
    <x v="49"/>
    <x v="3"/>
    <n v="110"/>
    <n v="19500020"/>
    <n v="-19500020"/>
  </r>
  <r>
    <x v="49"/>
    <x v="3"/>
    <n v="120"/>
    <n v="256560"/>
    <n v="-256560"/>
  </r>
  <r>
    <x v="49"/>
    <x v="3"/>
    <n v="130"/>
    <n v="207300"/>
    <n v="-207300"/>
  </r>
  <r>
    <x v="49"/>
    <x v="3"/>
    <n v="140"/>
    <n v="29246280"/>
    <n v="-29246280"/>
  </r>
  <r>
    <x v="49"/>
    <x v="3"/>
    <n v="141"/>
    <n v="17040040"/>
    <n v="-17040040"/>
  </r>
  <r>
    <x v="49"/>
    <x v="3"/>
    <n v="150"/>
    <n v="0"/>
    <n v="0"/>
  </r>
  <r>
    <x v="49"/>
    <x v="3"/>
    <n v="200"/>
    <n v="545358"/>
    <n v="-545358"/>
  </r>
  <r>
    <x v="49"/>
    <x v="3"/>
    <n v="210"/>
    <n v="5308"/>
    <n v="-5308"/>
  </r>
  <r>
    <x v="49"/>
    <x v="3"/>
    <n v="220"/>
    <n v="0"/>
    <n v="0"/>
  </r>
  <r>
    <x v="49"/>
    <x v="3"/>
    <n v="230"/>
    <n v="19254"/>
    <n v="-19254"/>
  </r>
  <r>
    <x v="49"/>
    <x v="3"/>
    <n v="298"/>
    <n v="0"/>
    <n v="0"/>
  </r>
  <r>
    <x v="50"/>
    <x v="0"/>
    <n v="1"/>
    <n v="5903486"/>
    <n v="5903486"/>
  </r>
  <r>
    <x v="50"/>
    <x v="0"/>
    <n v="10"/>
    <n v="4266880"/>
    <n v="4266880"/>
  </r>
  <r>
    <x v="50"/>
    <x v="0"/>
    <n v="20"/>
    <n v="0"/>
    <n v="0"/>
  </r>
  <r>
    <x v="50"/>
    <x v="0"/>
    <n v="50"/>
    <n v="0"/>
    <n v="0"/>
  </r>
  <r>
    <x v="50"/>
    <x v="0"/>
    <n v="70"/>
    <n v="29260"/>
    <n v="29260"/>
  </r>
  <r>
    <x v="50"/>
    <x v="0"/>
    <n v="110"/>
    <n v="1919720"/>
    <n v="-1919720"/>
  </r>
  <r>
    <x v="50"/>
    <x v="0"/>
    <n v="120"/>
    <n v="55240"/>
    <n v="-55240"/>
  </r>
  <r>
    <x v="50"/>
    <x v="0"/>
    <n v="140"/>
    <n v="108040"/>
    <n v="-108040"/>
  </r>
  <r>
    <x v="50"/>
    <x v="0"/>
    <n v="200"/>
    <n v="19466"/>
    <n v="-19466"/>
  </r>
  <r>
    <x v="50"/>
    <x v="0"/>
    <n v="210"/>
    <n v="29914"/>
    <n v="-29914"/>
  </r>
  <r>
    <x v="50"/>
    <x v="0"/>
    <n v="220"/>
    <n v="0"/>
    <n v="0"/>
  </r>
  <r>
    <x v="50"/>
    <x v="0"/>
    <n v="270"/>
    <n v="0"/>
    <n v="0"/>
  </r>
  <r>
    <x v="50"/>
    <x v="1"/>
    <n v="1"/>
    <n v="3581182"/>
    <n v="3581182"/>
  </r>
  <r>
    <x v="50"/>
    <x v="1"/>
    <n v="10"/>
    <n v="3591500"/>
    <n v="3591500"/>
  </r>
  <r>
    <x v="50"/>
    <x v="1"/>
    <n v="20"/>
    <n v="0"/>
    <n v="0"/>
  </r>
  <r>
    <x v="50"/>
    <x v="1"/>
    <n v="110"/>
    <n v="1457101"/>
    <n v="-1457101"/>
  </r>
  <r>
    <x v="50"/>
    <x v="1"/>
    <n v="120"/>
    <n v="10195"/>
    <n v="-10195"/>
  </r>
  <r>
    <x v="50"/>
    <x v="1"/>
    <n v="130"/>
    <n v="197556"/>
    <n v="-197556"/>
  </r>
  <r>
    <x v="50"/>
    <x v="1"/>
    <n v="140"/>
    <n v="52040"/>
    <n v="-52040"/>
  </r>
  <r>
    <x v="50"/>
    <x v="1"/>
    <n v="141"/>
    <n v="1877220"/>
    <n v="-1877220"/>
  </r>
  <r>
    <x v="50"/>
    <x v="1"/>
    <n v="150"/>
    <n v="0"/>
    <n v="0"/>
  </r>
  <r>
    <x v="50"/>
    <x v="1"/>
    <n v="200"/>
    <n v="17958"/>
    <n v="-17958"/>
  </r>
  <r>
    <x v="50"/>
    <x v="1"/>
    <n v="230"/>
    <n v="13005"/>
    <n v="-13005"/>
  </r>
  <r>
    <x v="50"/>
    <x v="1"/>
    <n v="270"/>
    <n v="0"/>
    <n v="0"/>
  </r>
  <r>
    <x v="50"/>
    <x v="2"/>
    <n v="1"/>
    <n v="26585566"/>
    <n v="26585566"/>
  </r>
  <r>
    <x v="50"/>
    <x v="2"/>
    <n v="10"/>
    <n v="30183540"/>
    <n v="30183540"/>
  </r>
  <r>
    <x v="50"/>
    <x v="2"/>
    <n v="50"/>
    <n v="0"/>
    <n v="0"/>
  </r>
  <r>
    <x v="50"/>
    <x v="2"/>
    <n v="110"/>
    <n v="33609000"/>
    <n v="-33609000"/>
  </r>
  <r>
    <x v="50"/>
    <x v="2"/>
    <n v="120"/>
    <n v="0"/>
    <n v="0"/>
  </r>
  <r>
    <x v="50"/>
    <x v="2"/>
    <n v="140"/>
    <n v="3487080"/>
    <n v="-3487080"/>
  </r>
  <r>
    <x v="50"/>
    <x v="2"/>
    <n v="141"/>
    <n v="169160"/>
    <n v="-169160"/>
  </r>
  <r>
    <x v="50"/>
    <x v="2"/>
    <n v="200"/>
    <n v="144909"/>
    <n v="-144909"/>
  </r>
  <r>
    <x v="50"/>
    <x v="2"/>
    <n v="210"/>
    <n v="77632"/>
    <n v="-77632"/>
  </r>
  <r>
    <x v="50"/>
    <x v="2"/>
    <n v="220"/>
    <n v="0"/>
    <n v="0"/>
  </r>
  <r>
    <x v="50"/>
    <x v="2"/>
    <n v="230"/>
    <n v="82136"/>
    <n v="-82136"/>
  </r>
  <r>
    <x v="50"/>
    <x v="2"/>
    <n v="270"/>
    <n v="0"/>
    <n v="0"/>
  </r>
  <r>
    <x v="50"/>
    <x v="3"/>
    <n v="1"/>
    <n v="18009884"/>
    <n v="18009884"/>
  </r>
  <r>
    <x v="50"/>
    <x v="3"/>
    <n v="10"/>
    <n v="42258880"/>
    <n v="42258880"/>
  </r>
  <r>
    <x v="50"/>
    <x v="3"/>
    <n v="15"/>
    <n v="0"/>
    <n v="0"/>
  </r>
  <r>
    <x v="50"/>
    <x v="3"/>
    <n v="50"/>
    <n v="0"/>
    <n v="0"/>
  </r>
  <r>
    <x v="50"/>
    <x v="3"/>
    <n v="110"/>
    <n v="31307915"/>
    <n v="-31307915"/>
  </r>
  <r>
    <x v="50"/>
    <x v="3"/>
    <n v="120"/>
    <n v="529760"/>
    <n v="-529760"/>
  </r>
  <r>
    <x v="50"/>
    <x v="3"/>
    <n v="130"/>
    <n v="923541"/>
    <n v="-923541"/>
  </r>
  <r>
    <x v="50"/>
    <x v="3"/>
    <n v="140"/>
    <n v="1808900"/>
    <n v="-1808900"/>
  </r>
  <r>
    <x v="50"/>
    <x v="3"/>
    <n v="141"/>
    <n v="518900"/>
    <n v="-518900"/>
  </r>
  <r>
    <x v="50"/>
    <x v="3"/>
    <n v="150"/>
    <n v="0"/>
    <n v="0"/>
  </r>
  <r>
    <x v="50"/>
    <x v="3"/>
    <n v="200"/>
    <n v="388131"/>
    <n v="-388131"/>
  </r>
  <r>
    <x v="50"/>
    <x v="3"/>
    <n v="210"/>
    <n v="19261"/>
    <n v="-19261"/>
  </r>
  <r>
    <x v="50"/>
    <x v="3"/>
    <n v="220"/>
    <n v="0"/>
    <n v="0"/>
  </r>
  <r>
    <x v="50"/>
    <x v="3"/>
    <n v="230"/>
    <n v="42177"/>
    <n v="-42177"/>
  </r>
  <r>
    <x v="50"/>
    <x v="3"/>
    <n v="270"/>
    <n v="0"/>
    <n v="0"/>
  </r>
  <r>
    <x v="51"/>
    <x v="0"/>
    <n v="1"/>
    <n v="3169342"/>
    <n v="3169342"/>
  </r>
  <r>
    <x v="51"/>
    <x v="0"/>
    <n v="10"/>
    <n v="5610120"/>
    <n v="5610120"/>
  </r>
  <r>
    <x v="51"/>
    <x v="0"/>
    <n v="20"/>
    <n v="0"/>
    <n v="0"/>
  </r>
  <r>
    <x v="51"/>
    <x v="0"/>
    <n v="110"/>
    <n v="0"/>
    <n v="0"/>
  </r>
  <r>
    <x v="51"/>
    <x v="0"/>
    <n v="200"/>
    <n v="26053"/>
    <n v="-26053"/>
  </r>
  <r>
    <x v="51"/>
    <x v="0"/>
    <n v="210"/>
    <n v="15120"/>
    <n v="-15120"/>
  </r>
  <r>
    <x v="51"/>
    <x v="1"/>
    <n v="1"/>
    <n v="4215920"/>
    <n v="4215920"/>
  </r>
  <r>
    <x v="51"/>
    <x v="1"/>
    <n v="10"/>
    <n v="416040"/>
    <n v="416040"/>
  </r>
  <r>
    <x v="51"/>
    <x v="1"/>
    <n v="20"/>
    <n v="96923"/>
    <n v="96923"/>
  </r>
  <r>
    <x v="51"/>
    <x v="1"/>
    <n v="50"/>
    <n v="51980"/>
    <n v="51980"/>
  </r>
  <r>
    <x v="51"/>
    <x v="1"/>
    <n v="110"/>
    <n v="33663"/>
    <n v="-33663"/>
  </r>
  <r>
    <x v="51"/>
    <x v="1"/>
    <n v="120"/>
    <n v="0"/>
    <n v="0"/>
  </r>
  <r>
    <x v="51"/>
    <x v="1"/>
    <n v="130"/>
    <n v="17592"/>
    <n v="-17592"/>
  </r>
  <r>
    <x v="51"/>
    <x v="1"/>
    <n v="140"/>
    <n v="0"/>
    <n v="0"/>
  </r>
  <r>
    <x v="51"/>
    <x v="1"/>
    <n v="141"/>
    <n v="4678900"/>
    <n v="-4678900"/>
  </r>
  <r>
    <x v="51"/>
    <x v="1"/>
    <n v="150"/>
    <n v="0"/>
    <n v="0"/>
  </r>
  <r>
    <x v="51"/>
    <x v="1"/>
    <n v="200"/>
    <n v="2080"/>
    <n v="-2080"/>
  </r>
  <r>
    <x v="51"/>
    <x v="1"/>
    <n v="230"/>
    <n v="857"/>
    <n v="-857"/>
  </r>
  <r>
    <x v="51"/>
    <x v="1"/>
    <n v="270"/>
    <n v="0"/>
    <n v="0"/>
  </r>
  <r>
    <x v="51"/>
    <x v="2"/>
    <n v="1"/>
    <n v="13710797"/>
    <n v="13710797"/>
  </r>
  <r>
    <x v="51"/>
    <x v="2"/>
    <n v="10"/>
    <n v="26076420"/>
    <n v="26076420"/>
  </r>
  <r>
    <x v="51"/>
    <x v="2"/>
    <n v="20"/>
    <n v="0"/>
    <n v="0"/>
  </r>
  <r>
    <x v="51"/>
    <x v="2"/>
    <n v="50"/>
    <n v="1395320"/>
    <n v="1395320"/>
  </r>
  <r>
    <x v="51"/>
    <x v="2"/>
    <n v="110"/>
    <n v="14892760"/>
    <n v="-14892760"/>
  </r>
  <r>
    <x v="51"/>
    <x v="2"/>
    <n v="140"/>
    <n v="777740"/>
    <n v="-777740"/>
  </r>
  <r>
    <x v="51"/>
    <x v="2"/>
    <n v="141"/>
    <n v="6183940"/>
    <n v="-6183940"/>
  </r>
  <r>
    <x v="51"/>
    <x v="2"/>
    <n v="200"/>
    <n v="129952"/>
    <n v="-129952"/>
  </r>
  <r>
    <x v="51"/>
    <x v="2"/>
    <n v="210"/>
    <n v="10954"/>
    <n v="-10954"/>
  </r>
  <r>
    <x v="51"/>
    <x v="2"/>
    <n v="220"/>
    <n v="0"/>
    <n v="0"/>
  </r>
  <r>
    <x v="51"/>
    <x v="2"/>
    <n v="230"/>
    <n v="66297"/>
    <n v="-66297"/>
  </r>
  <r>
    <x v="51"/>
    <x v="2"/>
    <n v="270"/>
    <n v="0"/>
    <n v="0"/>
  </r>
  <r>
    <x v="51"/>
    <x v="3"/>
    <n v="1"/>
    <n v="11485432"/>
    <n v="11485432"/>
  </r>
  <r>
    <x v="51"/>
    <x v="3"/>
    <n v="10"/>
    <n v="15429468"/>
    <n v="15429468"/>
  </r>
  <r>
    <x v="51"/>
    <x v="3"/>
    <n v="50"/>
    <n v="0"/>
    <n v="0"/>
  </r>
  <r>
    <x v="51"/>
    <x v="3"/>
    <n v="70"/>
    <n v="545683"/>
    <n v="545683"/>
  </r>
  <r>
    <x v="51"/>
    <x v="3"/>
    <n v="110"/>
    <n v="5208354"/>
    <n v="-5208354"/>
  </r>
  <r>
    <x v="51"/>
    <x v="3"/>
    <n v="120"/>
    <n v="607710"/>
    <n v="-607710"/>
  </r>
  <r>
    <x v="51"/>
    <x v="3"/>
    <n v="130"/>
    <n v="3739150"/>
    <n v="-3739150"/>
  </r>
  <r>
    <x v="51"/>
    <x v="3"/>
    <n v="140"/>
    <n v="3235320"/>
    <n v="-3235320"/>
  </r>
  <r>
    <x v="51"/>
    <x v="3"/>
    <n v="141"/>
    <n v="10190760"/>
    <n v="-10190760"/>
  </r>
  <r>
    <x v="51"/>
    <x v="3"/>
    <n v="200"/>
    <n v="108725"/>
    <n v="-108725"/>
  </r>
  <r>
    <x v="51"/>
    <x v="3"/>
    <n v="210"/>
    <n v="6139"/>
    <n v="-6139"/>
  </r>
  <r>
    <x v="51"/>
    <x v="3"/>
    <n v="220"/>
    <n v="0"/>
    <n v="0"/>
  </r>
  <r>
    <x v="51"/>
    <x v="3"/>
    <n v="230"/>
    <n v="17843"/>
    <n v="-17843"/>
  </r>
  <r>
    <x v="51"/>
    <x v="3"/>
    <n v="270"/>
    <n v="0"/>
    <n v="0"/>
  </r>
  <r>
    <x v="52"/>
    <x v="0"/>
    <n v="1"/>
    <n v="0"/>
    <n v="0"/>
  </r>
  <r>
    <x v="52"/>
    <x v="0"/>
    <n v="10"/>
    <n v="4059720"/>
    <n v="4059720"/>
  </r>
  <r>
    <x v="52"/>
    <x v="0"/>
    <n v="20"/>
    <n v="0"/>
    <n v="0"/>
  </r>
  <r>
    <x v="52"/>
    <x v="0"/>
    <n v="110"/>
    <n v="0"/>
    <n v="0"/>
  </r>
  <r>
    <x v="52"/>
    <x v="0"/>
    <n v="120"/>
    <n v="0"/>
    <n v="0"/>
  </r>
  <r>
    <x v="52"/>
    <x v="0"/>
    <n v="130"/>
    <n v="21558"/>
    <n v="-21558"/>
  </r>
  <r>
    <x v="52"/>
    <x v="0"/>
    <n v="140"/>
    <n v="0"/>
    <n v="0"/>
  </r>
  <r>
    <x v="52"/>
    <x v="0"/>
    <n v="200"/>
    <n v="20129"/>
    <n v="-20129"/>
  </r>
  <r>
    <x v="52"/>
    <x v="0"/>
    <n v="210"/>
    <n v="12241"/>
    <n v="-12241"/>
  </r>
  <r>
    <x v="52"/>
    <x v="0"/>
    <n v="270"/>
    <n v="0"/>
    <n v="0"/>
  </r>
  <r>
    <x v="52"/>
    <x v="1"/>
    <n v="1"/>
    <n v="2789602"/>
    <n v="2789602"/>
  </r>
  <r>
    <x v="52"/>
    <x v="1"/>
    <n v="10"/>
    <n v="1889100"/>
    <n v="1889100"/>
  </r>
  <r>
    <x v="52"/>
    <x v="1"/>
    <n v="20"/>
    <n v="0"/>
    <n v="0"/>
  </r>
  <r>
    <x v="52"/>
    <x v="1"/>
    <n v="110"/>
    <n v="1940658"/>
    <n v="-1940658"/>
  </r>
  <r>
    <x v="52"/>
    <x v="1"/>
    <n v="130"/>
    <n v="181656"/>
    <n v="-181656"/>
  </r>
  <r>
    <x v="52"/>
    <x v="1"/>
    <n v="140"/>
    <n v="0"/>
    <n v="0"/>
  </r>
  <r>
    <x v="52"/>
    <x v="1"/>
    <n v="150"/>
    <n v="0"/>
    <n v="0"/>
  </r>
  <r>
    <x v="52"/>
    <x v="1"/>
    <n v="160"/>
    <n v="0"/>
    <n v="0"/>
  </r>
  <r>
    <x v="52"/>
    <x v="1"/>
    <n v="200"/>
    <n v="9320"/>
    <n v="-9320"/>
  </r>
  <r>
    <x v="52"/>
    <x v="1"/>
    <n v="230"/>
    <n v="39143"/>
    <n v="-39143"/>
  </r>
  <r>
    <x v="52"/>
    <x v="1"/>
    <n v="260"/>
    <n v="0"/>
    <n v="0"/>
  </r>
  <r>
    <x v="52"/>
    <x v="1"/>
    <n v="270"/>
    <n v="0"/>
    <n v="0"/>
  </r>
  <r>
    <x v="52"/>
    <x v="2"/>
    <n v="1"/>
    <n v="16373652"/>
    <n v="16373652"/>
  </r>
  <r>
    <x v="52"/>
    <x v="2"/>
    <n v="10"/>
    <n v="24854020"/>
    <n v="24854020"/>
  </r>
  <r>
    <x v="52"/>
    <x v="2"/>
    <n v="20"/>
    <n v="0"/>
    <n v="0"/>
  </r>
  <r>
    <x v="52"/>
    <x v="2"/>
    <n v="50"/>
    <n v="1987040"/>
    <n v="1987040"/>
  </r>
  <r>
    <x v="52"/>
    <x v="2"/>
    <n v="100"/>
    <n v="0"/>
    <n v="0"/>
  </r>
  <r>
    <x v="52"/>
    <x v="2"/>
    <n v="110"/>
    <n v="18214240"/>
    <n v="-18214240"/>
  </r>
  <r>
    <x v="52"/>
    <x v="2"/>
    <n v="140"/>
    <n v="0"/>
    <n v="0"/>
  </r>
  <r>
    <x v="52"/>
    <x v="2"/>
    <n v="141"/>
    <n v="109100"/>
    <n v="-109100"/>
  </r>
  <r>
    <x v="52"/>
    <x v="2"/>
    <n v="200"/>
    <n v="123727"/>
    <n v="-123727"/>
  </r>
  <r>
    <x v="52"/>
    <x v="2"/>
    <n v="210"/>
    <n v="9480"/>
    <n v="-9480"/>
  </r>
  <r>
    <x v="52"/>
    <x v="2"/>
    <n v="220"/>
    <n v="0"/>
    <n v="0"/>
  </r>
  <r>
    <x v="52"/>
    <x v="2"/>
    <n v="230"/>
    <n v="56882"/>
    <n v="-56882"/>
  </r>
  <r>
    <x v="52"/>
    <x v="2"/>
    <n v="270"/>
    <n v="0"/>
    <n v="0"/>
  </r>
  <r>
    <x v="52"/>
    <x v="3"/>
    <n v="1"/>
    <n v="40161373"/>
    <n v="40161373"/>
  </r>
  <r>
    <x v="52"/>
    <x v="3"/>
    <n v="10"/>
    <n v="43314880"/>
    <n v="43314880"/>
  </r>
  <r>
    <x v="52"/>
    <x v="3"/>
    <n v="110"/>
    <n v="41471713"/>
    <n v="-41471713"/>
  </r>
  <r>
    <x v="52"/>
    <x v="3"/>
    <n v="120"/>
    <n v="37760"/>
    <n v="-37760"/>
  </r>
  <r>
    <x v="52"/>
    <x v="3"/>
    <n v="130"/>
    <n v="2507100"/>
    <n v="-2507100"/>
  </r>
  <r>
    <x v="52"/>
    <x v="3"/>
    <n v="140"/>
    <n v="0"/>
    <n v="0"/>
  </r>
  <r>
    <x v="52"/>
    <x v="3"/>
    <n v="141"/>
    <n v="114360"/>
    <n v="-114360"/>
  </r>
  <r>
    <x v="52"/>
    <x v="3"/>
    <n v="200"/>
    <n v="395529"/>
    <n v="-395529"/>
  </r>
  <r>
    <x v="52"/>
    <x v="3"/>
    <n v="210"/>
    <n v="6869"/>
    <n v="-6869"/>
  </r>
  <r>
    <x v="52"/>
    <x v="3"/>
    <n v="220"/>
    <n v="0"/>
    <n v="0"/>
  </r>
  <r>
    <x v="52"/>
    <x v="3"/>
    <n v="230"/>
    <n v="53378"/>
    <n v="-53378"/>
  </r>
  <r>
    <x v="52"/>
    <x v="3"/>
    <n v="270"/>
    <n v="0"/>
    <n v="0"/>
  </r>
  <r>
    <x v="52"/>
    <x v="4"/>
    <n v="10"/>
    <n v="0"/>
    <n v="0"/>
  </r>
  <r>
    <x v="52"/>
    <x v="4"/>
    <n v="110"/>
    <n v="0"/>
    <n v="0"/>
  </r>
  <r>
    <x v="53"/>
    <x v="1"/>
    <n v="110"/>
    <n v="0"/>
    <n v="0"/>
  </r>
  <r>
    <x v="53"/>
    <x v="2"/>
    <n v="50"/>
    <n v="0"/>
    <n v="0"/>
  </r>
  <r>
    <x v="53"/>
    <x v="3"/>
    <n v="1"/>
    <n v="15078943"/>
    <n v="15078943"/>
  </r>
  <r>
    <x v="53"/>
    <x v="3"/>
    <n v="10"/>
    <n v="18592180"/>
    <n v="18592180"/>
  </r>
  <r>
    <x v="53"/>
    <x v="3"/>
    <n v="50"/>
    <n v="5044920"/>
    <n v="5044920"/>
  </r>
  <r>
    <x v="53"/>
    <x v="3"/>
    <n v="70"/>
    <n v="-545683"/>
    <n v="-545683"/>
  </r>
  <r>
    <x v="53"/>
    <x v="3"/>
    <n v="110"/>
    <n v="4881190"/>
    <n v="-4881190"/>
  </r>
  <r>
    <x v="53"/>
    <x v="3"/>
    <n v="140"/>
    <n v="0"/>
    <n v="0"/>
  </r>
  <r>
    <x v="53"/>
    <x v="3"/>
    <n v="141"/>
    <n v="9670780"/>
    <n v="-9670780"/>
  </r>
  <r>
    <x v="53"/>
    <x v="3"/>
    <n v="200"/>
    <n v="185922"/>
    <n v="-185922"/>
  </r>
  <r>
    <x v="53"/>
    <x v="3"/>
    <n v="210"/>
    <n v="0"/>
    <n v="0"/>
  </r>
  <r>
    <x v="53"/>
    <x v="3"/>
    <n v="220"/>
    <n v="0"/>
    <n v="0"/>
  </r>
  <r>
    <x v="53"/>
    <x v="3"/>
    <n v="230"/>
    <n v="5325"/>
    <n v="-5325"/>
  </r>
  <r>
    <x v="54"/>
    <x v="0"/>
    <n v="110"/>
    <n v="0"/>
    <n v="0"/>
  </r>
  <r>
    <x v="54"/>
    <x v="1"/>
    <n v="120"/>
    <n v="0"/>
    <n v="0"/>
  </r>
  <r>
    <x v="55"/>
    <x v="0"/>
    <n v="1"/>
    <n v="22723665"/>
    <n v="22723665"/>
  </r>
  <r>
    <x v="55"/>
    <x v="0"/>
    <n v="10"/>
    <n v="52123660"/>
    <n v="52123660"/>
  </r>
  <r>
    <x v="55"/>
    <x v="0"/>
    <n v="15"/>
    <n v="0"/>
    <n v="0"/>
  </r>
  <r>
    <x v="55"/>
    <x v="0"/>
    <n v="20"/>
    <n v="0"/>
    <n v="0"/>
  </r>
  <r>
    <x v="55"/>
    <x v="0"/>
    <n v="50"/>
    <n v="26160"/>
    <n v="26160"/>
  </r>
  <r>
    <x v="55"/>
    <x v="0"/>
    <n v="60"/>
    <n v="152940"/>
    <n v="152940"/>
  </r>
  <r>
    <x v="55"/>
    <x v="0"/>
    <n v="70"/>
    <n v="180000"/>
    <n v="180000"/>
  </r>
  <r>
    <x v="55"/>
    <x v="0"/>
    <n v="110"/>
    <n v="19249420"/>
    <n v="-19249420"/>
  </r>
  <r>
    <x v="55"/>
    <x v="0"/>
    <n v="120"/>
    <n v="32340"/>
    <n v="-32340"/>
  </r>
  <r>
    <x v="55"/>
    <x v="0"/>
    <n v="130"/>
    <n v="0"/>
    <n v="0"/>
  </r>
  <r>
    <x v="55"/>
    <x v="0"/>
    <n v="140"/>
    <n v="324060"/>
    <n v="-324060"/>
  </r>
  <r>
    <x v="55"/>
    <x v="0"/>
    <n v="141"/>
    <n v="24317020"/>
    <n v="-24317020"/>
  </r>
  <r>
    <x v="55"/>
    <x v="0"/>
    <n v="200"/>
    <n v="255920"/>
    <n v="-255920"/>
  </r>
  <r>
    <x v="55"/>
    <x v="0"/>
    <n v="210"/>
    <n v="339135"/>
    <n v="-339135"/>
  </r>
  <r>
    <x v="55"/>
    <x v="0"/>
    <n v="230"/>
    <n v="0"/>
    <n v="0"/>
  </r>
  <r>
    <x v="55"/>
    <x v="0"/>
    <n v="270"/>
    <n v="0"/>
    <n v="0"/>
  </r>
  <r>
    <x v="55"/>
    <x v="0"/>
    <n v="298"/>
    <n v="0"/>
    <n v="0"/>
  </r>
  <r>
    <x v="55"/>
    <x v="1"/>
    <n v="1"/>
    <n v="1118068"/>
    <n v="1118068"/>
  </r>
  <r>
    <x v="55"/>
    <x v="1"/>
    <n v="10"/>
    <n v="8901280"/>
    <n v="8901280"/>
  </r>
  <r>
    <x v="55"/>
    <x v="1"/>
    <n v="50"/>
    <n v="657180"/>
    <n v="657180"/>
  </r>
  <r>
    <x v="55"/>
    <x v="1"/>
    <n v="60"/>
    <n v="0"/>
    <n v="0"/>
  </r>
  <r>
    <x v="55"/>
    <x v="1"/>
    <n v="70"/>
    <n v="38804"/>
    <n v="38804"/>
  </r>
  <r>
    <x v="55"/>
    <x v="1"/>
    <n v="100"/>
    <n v="0"/>
    <n v="0"/>
  </r>
  <r>
    <x v="55"/>
    <x v="1"/>
    <n v="110"/>
    <n v="2158560"/>
    <n v="-2158560"/>
  </r>
  <r>
    <x v="55"/>
    <x v="1"/>
    <n v="120"/>
    <n v="0"/>
    <n v="0"/>
  </r>
  <r>
    <x v="55"/>
    <x v="1"/>
    <n v="130"/>
    <n v="1745300"/>
    <n v="-1745300"/>
  </r>
  <r>
    <x v="55"/>
    <x v="1"/>
    <n v="140"/>
    <n v="109760"/>
    <n v="-109760"/>
  </r>
  <r>
    <x v="55"/>
    <x v="1"/>
    <n v="141"/>
    <n v="6462500"/>
    <n v="-6462500"/>
  </r>
  <r>
    <x v="55"/>
    <x v="1"/>
    <n v="200"/>
    <n v="42932"/>
    <n v="-42932"/>
  </r>
  <r>
    <x v="55"/>
    <x v="1"/>
    <n v="210"/>
    <n v="0"/>
    <n v="0"/>
  </r>
  <r>
    <x v="55"/>
    <x v="1"/>
    <n v="220"/>
    <n v="0"/>
    <n v="0"/>
  </r>
  <r>
    <x v="55"/>
    <x v="1"/>
    <n v="230"/>
    <n v="260983"/>
    <n v="-260983"/>
  </r>
  <r>
    <x v="55"/>
    <x v="1"/>
    <n v="298"/>
    <n v="0"/>
    <n v="0"/>
  </r>
  <r>
    <x v="55"/>
    <x v="2"/>
    <n v="1"/>
    <n v="5744887"/>
    <n v="5744887"/>
  </r>
  <r>
    <x v="55"/>
    <x v="2"/>
    <n v="10"/>
    <n v="52028580"/>
    <n v="52028580"/>
  </r>
  <r>
    <x v="55"/>
    <x v="2"/>
    <n v="20"/>
    <n v="160383"/>
    <n v="160383"/>
  </r>
  <r>
    <x v="55"/>
    <x v="2"/>
    <n v="50"/>
    <n v="525360"/>
    <n v="525360"/>
  </r>
  <r>
    <x v="55"/>
    <x v="2"/>
    <n v="51"/>
    <n v="18960"/>
    <n v="18960"/>
  </r>
  <r>
    <x v="55"/>
    <x v="2"/>
    <n v="60"/>
    <n v="0"/>
    <n v="0"/>
  </r>
  <r>
    <x v="55"/>
    <x v="2"/>
    <n v="70"/>
    <n v="0"/>
    <n v="0"/>
  </r>
  <r>
    <x v="55"/>
    <x v="2"/>
    <n v="110"/>
    <n v="23610840"/>
    <n v="-23610840"/>
  </r>
  <r>
    <x v="55"/>
    <x v="2"/>
    <n v="120"/>
    <n v="0"/>
    <n v="0"/>
  </r>
  <r>
    <x v="55"/>
    <x v="2"/>
    <n v="130"/>
    <n v="0"/>
    <n v="0"/>
  </r>
  <r>
    <x v="55"/>
    <x v="2"/>
    <n v="140"/>
    <n v="4389080"/>
    <n v="-4389080"/>
  </r>
  <r>
    <x v="55"/>
    <x v="2"/>
    <n v="141"/>
    <n v="15497780"/>
    <n v="-15497780"/>
  </r>
  <r>
    <x v="55"/>
    <x v="2"/>
    <n v="200"/>
    <n v="259239"/>
    <n v="-259239"/>
  </r>
  <r>
    <x v="55"/>
    <x v="2"/>
    <n v="210"/>
    <n v="93347"/>
    <n v="-93347"/>
  </r>
  <r>
    <x v="55"/>
    <x v="2"/>
    <n v="211"/>
    <n v="1270"/>
    <n v="-1270"/>
  </r>
  <r>
    <x v="55"/>
    <x v="2"/>
    <n v="220"/>
    <n v="0"/>
    <n v="0"/>
  </r>
  <r>
    <x v="55"/>
    <x v="2"/>
    <n v="230"/>
    <n v="240446"/>
    <n v="-240446"/>
  </r>
  <r>
    <x v="55"/>
    <x v="2"/>
    <n v="270"/>
    <n v="0"/>
    <n v="0"/>
  </r>
  <r>
    <x v="55"/>
    <x v="2"/>
    <n v="298"/>
    <n v="0"/>
    <n v="0"/>
  </r>
  <r>
    <x v="55"/>
    <x v="3"/>
    <n v="1"/>
    <n v="17559541"/>
    <n v="17559541"/>
  </r>
  <r>
    <x v="55"/>
    <x v="3"/>
    <n v="10"/>
    <n v="52986400"/>
    <n v="52986400"/>
  </r>
  <r>
    <x v="55"/>
    <x v="3"/>
    <n v="20"/>
    <n v="0"/>
    <n v="0"/>
  </r>
  <r>
    <x v="55"/>
    <x v="3"/>
    <n v="50"/>
    <n v="604480"/>
    <n v="604480"/>
  </r>
  <r>
    <x v="55"/>
    <x v="3"/>
    <n v="60"/>
    <n v="0"/>
    <n v="0"/>
  </r>
  <r>
    <x v="55"/>
    <x v="3"/>
    <n v="70"/>
    <n v="0"/>
    <n v="0"/>
  </r>
  <r>
    <x v="55"/>
    <x v="3"/>
    <n v="100"/>
    <n v="0"/>
    <n v="0"/>
  </r>
  <r>
    <x v="55"/>
    <x v="3"/>
    <n v="110"/>
    <n v="35677860"/>
    <n v="-35677860"/>
  </r>
  <r>
    <x v="55"/>
    <x v="3"/>
    <n v="120"/>
    <n v="62400"/>
    <n v="-62400"/>
  </r>
  <r>
    <x v="55"/>
    <x v="3"/>
    <n v="130"/>
    <n v="1524440"/>
    <n v="-1524440"/>
  </r>
  <r>
    <x v="55"/>
    <x v="3"/>
    <n v="140"/>
    <n v="23048660"/>
    <n v="-23048660"/>
  </r>
  <r>
    <x v="55"/>
    <x v="3"/>
    <n v="141"/>
    <n v="7760940"/>
    <n v="-7760940"/>
  </r>
  <r>
    <x v="55"/>
    <x v="3"/>
    <n v="200"/>
    <n v="518634"/>
    <n v="-518634"/>
  </r>
  <r>
    <x v="55"/>
    <x v="3"/>
    <n v="210"/>
    <n v="2830"/>
    <n v="-2830"/>
  </r>
  <r>
    <x v="55"/>
    <x v="3"/>
    <n v="220"/>
    <n v="192521"/>
    <n v="-192521"/>
  </r>
  <r>
    <x v="55"/>
    <x v="3"/>
    <n v="230"/>
    <n v="228131"/>
    <n v="-228131"/>
  </r>
  <r>
    <x v="55"/>
    <x v="3"/>
    <n v="240"/>
    <n v="0"/>
    <n v="0"/>
  </r>
  <r>
    <x v="55"/>
    <x v="3"/>
    <n v="298"/>
    <n v="0"/>
    <n v="0"/>
  </r>
  <r>
    <x v="56"/>
    <x v="0"/>
    <n v="1"/>
    <n v="0"/>
    <n v="0"/>
  </r>
  <r>
    <x v="56"/>
    <x v="0"/>
    <n v="10"/>
    <n v="0"/>
    <n v="0"/>
  </r>
  <r>
    <x v="56"/>
    <x v="0"/>
    <n v="50"/>
    <n v="0"/>
    <n v="0"/>
  </r>
  <r>
    <x v="56"/>
    <x v="0"/>
    <n v="60"/>
    <n v="0"/>
    <n v="0"/>
  </r>
  <r>
    <x v="56"/>
    <x v="0"/>
    <n v="70"/>
    <n v="0"/>
    <n v="0"/>
  </r>
  <r>
    <x v="56"/>
    <x v="0"/>
    <n v="110"/>
    <n v="0"/>
    <n v="0"/>
  </r>
  <r>
    <x v="56"/>
    <x v="0"/>
    <n v="140"/>
    <n v="0"/>
    <n v="0"/>
  </r>
  <r>
    <x v="56"/>
    <x v="0"/>
    <n v="200"/>
    <n v="0"/>
    <n v="0"/>
  </r>
  <r>
    <x v="56"/>
    <x v="0"/>
    <n v="210"/>
    <n v="0"/>
    <n v="0"/>
  </r>
  <r>
    <x v="56"/>
    <x v="1"/>
    <n v="10"/>
    <n v="0"/>
    <n v="0"/>
  </r>
  <r>
    <x v="56"/>
    <x v="2"/>
    <n v="10"/>
    <n v="0"/>
    <n v="0"/>
  </r>
  <r>
    <x v="56"/>
    <x v="3"/>
    <n v="1"/>
    <n v="0"/>
    <n v="0"/>
  </r>
  <r>
    <x v="56"/>
    <x v="3"/>
    <n v="10"/>
    <n v="31140"/>
    <n v="31140"/>
  </r>
  <r>
    <x v="56"/>
    <x v="3"/>
    <n v="50"/>
    <n v="23112220"/>
    <n v="23112220"/>
  </r>
  <r>
    <x v="56"/>
    <x v="3"/>
    <n v="70"/>
    <n v="0"/>
    <n v="0"/>
  </r>
  <r>
    <x v="56"/>
    <x v="3"/>
    <n v="110"/>
    <n v="172960"/>
    <n v="-172960"/>
  </r>
  <r>
    <x v="56"/>
    <x v="3"/>
    <n v="120"/>
    <n v="0"/>
    <n v="0"/>
  </r>
  <r>
    <x v="56"/>
    <x v="3"/>
    <n v="130"/>
    <n v="0"/>
    <n v="0"/>
  </r>
  <r>
    <x v="56"/>
    <x v="3"/>
    <n v="140"/>
    <n v="553100"/>
    <n v="-553100"/>
  </r>
  <r>
    <x v="56"/>
    <x v="3"/>
    <n v="200"/>
    <n v="311"/>
    <n v="-311"/>
  </r>
  <r>
    <x v="56"/>
    <x v="3"/>
    <n v="210"/>
    <n v="0"/>
    <n v="0"/>
  </r>
  <r>
    <x v="56"/>
    <x v="3"/>
    <n v="220"/>
    <n v="0"/>
    <n v="0"/>
  </r>
  <r>
    <x v="56"/>
    <x v="3"/>
    <n v="230"/>
    <n v="0"/>
    <n v="0"/>
  </r>
  <r>
    <x v="57"/>
    <x v="0"/>
    <n v="1"/>
    <n v="5058511"/>
    <n v="5058511"/>
  </r>
  <r>
    <x v="57"/>
    <x v="0"/>
    <n v="10"/>
    <n v="13149500"/>
    <n v="13149500"/>
  </r>
  <r>
    <x v="57"/>
    <x v="0"/>
    <n v="20"/>
    <n v="0"/>
    <n v="0"/>
  </r>
  <r>
    <x v="57"/>
    <x v="0"/>
    <n v="50"/>
    <n v="0"/>
    <n v="0"/>
  </r>
  <r>
    <x v="57"/>
    <x v="0"/>
    <n v="60"/>
    <n v="176820"/>
    <n v="176820"/>
  </r>
  <r>
    <x v="57"/>
    <x v="0"/>
    <n v="70"/>
    <n v="180000"/>
    <n v="180000"/>
  </r>
  <r>
    <x v="57"/>
    <x v="0"/>
    <n v="110"/>
    <n v="10451180"/>
    <n v="-10451180"/>
  </r>
  <r>
    <x v="57"/>
    <x v="0"/>
    <n v="120"/>
    <n v="0"/>
    <n v="0"/>
  </r>
  <r>
    <x v="57"/>
    <x v="0"/>
    <n v="130"/>
    <n v="0"/>
    <n v="0"/>
  </r>
  <r>
    <x v="57"/>
    <x v="0"/>
    <n v="140"/>
    <n v="2416640"/>
    <n v="-2416640"/>
  </r>
  <r>
    <x v="57"/>
    <x v="0"/>
    <n v="141"/>
    <n v="5064700"/>
    <n v="-5064700"/>
  </r>
  <r>
    <x v="57"/>
    <x v="0"/>
    <n v="200"/>
    <n v="65273"/>
    <n v="-65273"/>
  </r>
  <r>
    <x v="57"/>
    <x v="0"/>
    <n v="210"/>
    <n v="79290"/>
    <n v="-79290"/>
  </r>
  <r>
    <x v="57"/>
    <x v="0"/>
    <n v="220"/>
    <n v="0"/>
    <n v="0"/>
  </r>
  <r>
    <x v="57"/>
    <x v="0"/>
    <n v="230"/>
    <n v="0"/>
    <n v="0"/>
  </r>
  <r>
    <x v="57"/>
    <x v="0"/>
    <n v="298"/>
    <n v="0"/>
    <n v="0"/>
  </r>
  <r>
    <x v="57"/>
    <x v="1"/>
    <n v="1"/>
    <n v="1172959"/>
    <n v="1172959"/>
  </r>
  <r>
    <x v="57"/>
    <x v="1"/>
    <n v="10"/>
    <n v="546060"/>
    <n v="546060"/>
  </r>
  <r>
    <x v="57"/>
    <x v="1"/>
    <n v="20"/>
    <n v="0"/>
    <n v="0"/>
  </r>
  <r>
    <x v="57"/>
    <x v="1"/>
    <n v="50"/>
    <n v="109880"/>
    <n v="109880"/>
  </r>
  <r>
    <x v="57"/>
    <x v="1"/>
    <n v="60"/>
    <n v="0"/>
    <n v="0"/>
  </r>
  <r>
    <x v="57"/>
    <x v="1"/>
    <n v="70"/>
    <n v="-38804"/>
    <n v="-38804"/>
  </r>
  <r>
    <x v="57"/>
    <x v="1"/>
    <n v="110"/>
    <n v="0"/>
    <n v="0"/>
  </r>
  <r>
    <x v="57"/>
    <x v="1"/>
    <n v="120"/>
    <n v="0"/>
    <n v="0"/>
  </r>
  <r>
    <x v="57"/>
    <x v="1"/>
    <n v="130"/>
    <n v="1116480"/>
    <n v="-1116480"/>
  </r>
  <r>
    <x v="57"/>
    <x v="1"/>
    <n v="140"/>
    <n v="659200"/>
    <n v="-659200"/>
  </r>
  <r>
    <x v="57"/>
    <x v="1"/>
    <n v="200"/>
    <n v="2730"/>
    <n v="-2730"/>
  </r>
  <r>
    <x v="57"/>
    <x v="1"/>
    <n v="210"/>
    <n v="0"/>
    <n v="0"/>
  </r>
  <r>
    <x v="57"/>
    <x v="1"/>
    <n v="220"/>
    <n v="0"/>
    <n v="0"/>
  </r>
  <r>
    <x v="57"/>
    <x v="1"/>
    <n v="230"/>
    <n v="11685"/>
    <n v="-11685"/>
  </r>
  <r>
    <x v="57"/>
    <x v="1"/>
    <n v="270"/>
    <n v="0"/>
    <n v="0"/>
  </r>
  <r>
    <x v="57"/>
    <x v="1"/>
    <n v="298"/>
    <n v="0"/>
    <n v="0"/>
  </r>
  <r>
    <x v="57"/>
    <x v="2"/>
    <n v="1"/>
    <n v="0"/>
    <n v="0"/>
  </r>
  <r>
    <x v="57"/>
    <x v="2"/>
    <n v="10"/>
    <n v="2096800"/>
    <n v="2096800"/>
  </r>
  <r>
    <x v="57"/>
    <x v="2"/>
    <n v="20"/>
    <n v="0"/>
    <n v="0"/>
  </r>
  <r>
    <x v="57"/>
    <x v="2"/>
    <n v="50"/>
    <n v="166720"/>
    <n v="166720"/>
  </r>
  <r>
    <x v="57"/>
    <x v="2"/>
    <n v="70"/>
    <n v="0"/>
    <n v="0"/>
  </r>
  <r>
    <x v="57"/>
    <x v="2"/>
    <n v="110"/>
    <n v="109960"/>
    <n v="-109960"/>
  </r>
  <r>
    <x v="57"/>
    <x v="2"/>
    <n v="120"/>
    <n v="0"/>
    <n v="0"/>
  </r>
  <r>
    <x v="57"/>
    <x v="2"/>
    <n v="130"/>
    <n v="0"/>
    <n v="0"/>
  </r>
  <r>
    <x v="57"/>
    <x v="2"/>
    <n v="140"/>
    <n v="723100"/>
    <n v="-723100"/>
  </r>
  <r>
    <x v="57"/>
    <x v="2"/>
    <n v="200"/>
    <n v="10484"/>
    <n v="-10484"/>
  </r>
  <r>
    <x v="57"/>
    <x v="2"/>
    <n v="210"/>
    <n v="6815"/>
    <n v="-6815"/>
  </r>
  <r>
    <x v="57"/>
    <x v="2"/>
    <n v="220"/>
    <n v="0"/>
    <n v="0"/>
  </r>
  <r>
    <x v="57"/>
    <x v="2"/>
    <n v="230"/>
    <n v="0"/>
    <n v="0"/>
  </r>
  <r>
    <x v="57"/>
    <x v="2"/>
    <n v="270"/>
    <n v="0"/>
    <n v="0"/>
  </r>
  <r>
    <x v="57"/>
    <x v="2"/>
    <n v="298"/>
    <n v="0"/>
    <n v="0"/>
  </r>
  <r>
    <x v="57"/>
    <x v="3"/>
    <n v="70"/>
    <n v="0"/>
    <n v="0"/>
  </r>
  <r>
    <x v="57"/>
    <x v="3"/>
    <n v="130"/>
    <n v="0"/>
    <n v="0"/>
  </r>
  <r>
    <x v="58"/>
    <x v="0"/>
    <n v="1"/>
    <n v="16660"/>
    <n v="16660"/>
  </r>
  <r>
    <x v="58"/>
    <x v="0"/>
    <n v="10"/>
    <n v="47826300"/>
    <n v="47826300"/>
  </r>
  <r>
    <x v="58"/>
    <x v="0"/>
    <n v="20"/>
    <n v="0"/>
    <n v="0"/>
  </r>
  <r>
    <x v="58"/>
    <x v="0"/>
    <n v="50"/>
    <n v="0"/>
    <n v="0"/>
  </r>
  <r>
    <x v="58"/>
    <x v="0"/>
    <n v="70"/>
    <n v="0"/>
    <n v="0"/>
  </r>
  <r>
    <x v="58"/>
    <x v="0"/>
    <n v="100"/>
    <n v="0"/>
    <n v="0"/>
  </r>
  <r>
    <x v="58"/>
    <x v="0"/>
    <n v="110"/>
    <n v="7820580"/>
    <n v="-7820580"/>
  </r>
  <r>
    <x v="58"/>
    <x v="0"/>
    <n v="120"/>
    <n v="0"/>
    <n v="0"/>
  </r>
  <r>
    <x v="58"/>
    <x v="0"/>
    <n v="130"/>
    <n v="0"/>
    <n v="0"/>
  </r>
  <r>
    <x v="58"/>
    <x v="0"/>
    <n v="140"/>
    <n v="1181260"/>
    <n v="-1181260"/>
  </r>
  <r>
    <x v="58"/>
    <x v="0"/>
    <n v="141"/>
    <n v="20328140"/>
    <n v="-20328140"/>
  </r>
  <r>
    <x v="58"/>
    <x v="0"/>
    <n v="200"/>
    <n v="236904"/>
    <n v="-236904"/>
  </r>
  <r>
    <x v="58"/>
    <x v="0"/>
    <n v="210"/>
    <n v="218875"/>
    <n v="-218875"/>
  </r>
  <r>
    <x v="58"/>
    <x v="0"/>
    <n v="220"/>
    <n v="0"/>
    <n v="0"/>
  </r>
  <r>
    <x v="58"/>
    <x v="0"/>
    <n v="230"/>
    <n v="0"/>
    <n v="0"/>
  </r>
  <r>
    <x v="58"/>
    <x v="0"/>
    <n v="298"/>
    <n v="0"/>
    <n v="0"/>
  </r>
  <r>
    <x v="58"/>
    <x v="1"/>
    <n v="1"/>
    <n v="2882127"/>
    <n v="2882127"/>
  </r>
  <r>
    <x v="58"/>
    <x v="1"/>
    <n v="10"/>
    <n v="2647560"/>
    <n v="2647560"/>
  </r>
  <r>
    <x v="58"/>
    <x v="1"/>
    <n v="20"/>
    <n v="0"/>
    <n v="0"/>
  </r>
  <r>
    <x v="58"/>
    <x v="1"/>
    <n v="50"/>
    <n v="0"/>
    <n v="0"/>
  </r>
  <r>
    <x v="58"/>
    <x v="1"/>
    <n v="70"/>
    <n v="0"/>
    <n v="0"/>
  </r>
  <r>
    <x v="58"/>
    <x v="1"/>
    <n v="100"/>
    <n v="0"/>
    <n v="0"/>
  </r>
  <r>
    <x v="58"/>
    <x v="1"/>
    <n v="110"/>
    <n v="0"/>
    <n v="0"/>
  </r>
  <r>
    <x v="58"/>
    <x v="1"/>
    <n v="120"/>
    <n v="0"/>
    <n v="0"/>
  </r>
  <r>
    <x v="58"/>
    <x v="1"/>
    <n v="130"/>
    <n v="3266900"/>
    <n v="-3266900"/>
  </r>
  <r>
    <x v="58"/>
    <x v="1"/>
    <n v="140"/>
    <n v="0"/>
    <n v="0"/>
  </r>
  <r>
    <x v="58"/>
    <x v="1"/>
    <n v="141"/>
    <n v="2072040"/>
    <n v="-2072040"/>
  </r>
  <r>
    <x v="58"/>
    <x v="1"/>
    <n v="200"/>
    <n v="13238"/>
    <n v="-13238"/>
  </r>
  <r>
    <x v="58"/>
    <x v="1"/>
    <n v="210"/>
    <n v="0"/>
    <n v="0"/>
  </r>
  <r>
    <x v="58"/>
    <x v="1"/>
    <n v="220"/>
    <n v="0"/>
    <n v="0"/>
  </r>
  <r>
    <x v="58"/>
    <x v="1"/>
    <n v="230"/>
    <n v="36289"/>
    <n v="-36289"/>
  </r>
  <r>
    <x v="58"/>
    <x v="1"/>
    <n v="298"/>
    <n v="0"/>
    <n v="0"/>
  </r>
  <r>
    <x v="58"/>
    <x v="2"/>
    <n v="1"/>
    <n v="11536445"/>
    <n v="11536445"/>
  </r>
  <r>
    <x v="58"/>
    <x v="2"/>
    <n v="10"/>
    <n v="33727600"/>
    <n v="33727600"/>
  </r>
  <r>
    <x v="58"/>
    <x v="2"/>
    <n v="20"/>
    <n v="21300"/>
    <n v="21300"/>
  </r>
  <r>
    <x v="58"/>
    <x v="2"/>
    <n v="50"/>
    <n v="134680"/>
    <n v="134680"/>
  </r>
  <r>
    <x v="58"/>
    <x v="2"/>
    <n v="70"/>
    <n v="145015"/>
    <n v="145015"/>
  </r>
  <r>
    <x v="58"/>
    <x v="2"/>
    <n v="110"/>
    <n v="23595440"/>
    <n v="-23595440"/>
  </r>
  <r>
    <x v="58"/>
    <x v="2"/>
    <n v="120"/>
    <n v="0"/>
    <n v="0"/>
  </r>
  <r>
    <x v="58"/>
    <x v="2"/>
    <n v="130"/>
    <n v="0"/>
    <n v="0"/>
  </r>
  <r>
    <x v="58"/>
    <x v="2"/>
    <n v="140"/>
    <n v="795740"/>
    <n v="-795740"/>
  </r>
  <r>
    <x v="58"/>
    <x v="2"/>
    <n v="141"/>
    <n v="9792360"/>
    <n v="-9792360"/>
  </r>
  <r>
    <x v="58"/>
    <x v="2"/>
    <n v="200"/>
    <n v="168515"/>
    <n v="-168515"/>
  </r>
  <r>
    <x v="58"/>
    <x v="2"/>
    <n v="210"/>
    <n v="32157"/>
    <n v="-32157"/>
  </r>
  <r>
    <x v="58"/>
    <x v="2"/>
    <n v="220"/>
    <n v="0"/>
    <n v="0"/>
  </r>
  <r>
    <x v="58"/>
    <x v="2"/>
    <n v="230"/>
    <n v="91309"/>
    <n v="-91309"/>
  </r>
  <r>
    <x v="58"/>
    <x v="2"/>
    <n v="270"/>
    <n v="0"/>
    <n v="0"/>
  </r>
  <r>
    <x v="58"/>
    <x v="2"/>
    <n v="298"/>
    <n v="0"/>
    <n v="0"/>
  </r>
  <r>
    <x v="58"/>
    <x v="3"/>
    <n v="1"/>
    <n v="25487446"/>
    <n v="25487446"/>
  </r>
  <r>
    <x v="58"/>
    <x v="3"/>
    <n v="10"/>
    <n v="36691540"/>
    <n v="36691540"/>
  </r>
  <r>
    <x v="58"/>
    <x v="3"/>
    <n v="20"/>
    <n v="0"/>
    <n v="0"/>
  </r>
  <r>
    <x v="58"/>
    <x v="3"/>
    <n v="50"/>
    <n v="0"/>
    <n v="0"/>
  </r>
  <r>
    <x v="58"/>
    <x v="3"/>
    <n v="70"/>
    <n v="0"/>
    <n v="0"/>
  </r>
  <r>
    <x v="58"/>
    <x v="3"/>
    <n v="100"/>
    <n v="0"/>
    <n v="0"/>
  </r>
  <r>
    <x v="58"/>
    <x v="3"/>
    <n v="110"/>
    <n v="16672400"/>
    <n v="-16672400"/>
  </r>
  <r>
    <x v="58"/>
    <x v="3"/>
    <n v="120"/>
    <n v="2160"/>
    <n v="-2160"/>
  </r>
  <r>
    <x v="58"/>
    <x v="3"/>
    <n v="130"/>
    <n v="99080"/>
    <n v="-99080"/>
  </r>
  <r>
    <x v="58"/>
    <x v="3"/>
    <n v="140"/>
    <n v="111140"/>
    <n v="-111140"/>
  </r>
  <r>
    <x v="58"/>
    <x v="3"/>
    <n v="141"/>
    <n v="30296940"/>
    <n v="-30296940"/>
  </r>
  <r>
    <x v="58"/>
    <x v="3"/>
    <n v="200"/>
    <n v="365709"/>
    <n v="-365709"/>
  </r>
  <r>
    <x v="58"/>
    <x v="3"/>
    <n v="210"/>
    <n v="29"/>
    <n v="-29"/>
  </r>
  <r>
    <x v="58"/>
    <x v="3"/>
    <n v="220"/>
    <n v="225966"/>
    <n v="-225966"/>
  </r>
  <r>
    <x v="58"/>
    <x v="3"/>
    <n v="230"/>
    <n v="54142"/>
    <n v="-54142"/>
  </r>
  <r>
    <x v="58"/>
    <x v="3"/>
    <n v="298"/>
    <n v="0"/>
    <n v="0"/>
  </r>
  <r>
    <x v="58"/>
    <x v="4"/>
    <n v="1"/>
    <n v="0"/>
    <n v="0"/>
  </r>
  <r>
    <x v="58"/>
    <x v="4"/>
    <n v="10"/>
    <n v="320980"/>
    <n v="320980"/>
  </r>
  <r>
    <x v="58"/>
    <x v="4"/>
    <n v="20"/>
    <n v="0"/>
    <n v="0"/>
  </r>
  <r>
    <x v="58"/>
    <x v="4"/>
    <n v="50"/>
    <n v="0"/>
    <n v="0"/>
  </r>
  <r>
    <x v="58"/>
    <x v="4"/>
    <n v="70"/>
    <n v="0"/>
    <n v="0"/>
  </r>
  <r>
    <x v="58"/>
    <x v="4"/>
    <n v="110"/>
    <n v="294580"/>
    <n v="-294580"/>
  </r>
  <r>
    <x v="58"/>
    <x v="4"/>
    <n v="130"/>
    <n v="0"/>
    <n v="0"/>
  </r>
  <r>
    <x v="58"/>
    <x v="4"/>
    <n v="140"/>
    <n v="0"/>
    <n v="0"/>
  </r>
  <r>
    <x v="58"/>
    <x v="4"/>
    <n v="200"/>
    <n v="0"/>
    <n v="0"/>
  </r>
  <r>
    <x v="58"/>
    <x v="4"/>
    <n v="210"/>
    <n v="12805"/>
    <n v="-12805"/>
  </r>
  <r>
    <x v="58"/>
    <x v="4"/>
    <n v="220"/>
    <n v="0"/>
    <n v="0"/>
  </r>
  <r>
    <x v="58"/>
    <x v="4"/>
    <n v="230"/>
    <n v="0"/>
    <n v="0"/>
  </r>
  <r>
    <x v="59"/>
    <x v="0"/>
    <n v="1"/>
    <n v="9168074"/>
    <n v="9168074"/>
  </r>
  <r>
    <x v="59"/>
    <x v="0"/>
    <n v="10"/>
    <n v="16712760"/>
    <n v="16712760"/>
  </r>
  <r>
    <x v="59"/>
    <x v="0"/>
    <n v="20"/>
    <n v="0"/>
    <n v="0"/>
  </r>
  <r>
    <x v="59"/>
    <x v="0"/>
    <n v="50"/>
    <n v="0"/>
    <n v="0"/>
  </r>
  <r>
    <x v="59"/>
    <x v="0"/>
    <n v="60"/>
    <n v="0"/>
    <n v="0"/>
  </r>
  <r>
    <x v="59"/>
    <x v="0"/>
    <n v="70"/>
    <n v="240000"/>
    <n v="240000"/>
  </r>
  <r>
    <x v="59"/>
    <x v="0"/>
    <n v="110"/>
    <n v="3659720"/>
    <n v="-3659720"/>
  </r>
  <r>
    <x v="59"/>
    <x v="0"/>
    <n v="120"/>
    <n v="0"/>
    <n v="0"/>
  </r>
  <r>
    <x v="59"/>
    <x v="0"/>
    <n v="130"/>
    <n v="0"/>
    <n v="0"/>
  </r>
  <r>
    <x v="59"/>
    <x v="0"/>
    <n v="140"/>
    <n v="7977800"/>
    <n v="-7977800"/>
  </r>
  <r>
    <x v="59"/>
    <x v="0"/>
    <n v="141"/>
    <n v="113640"/>
    <n v="-113640"/>
  </r>
  <r>
    <x v="59"/>
    <x v="0"/>
    <n v="200"/>
    <n v="79823"/>
    <n v="-79823"/>
  </r>
  <r>
    <x v="59"/>
    <x v="0"/>
    <n v="210"/>
    <n v="136096"/>
    <n v="-136096"/>
  </r>
  <r>
    <x v="59"/>
    <x v="0"/>
    <n v="230"/>
    <n v="0"/>
    <n v="0"/>
  </r>
  <r>
    <x v="59"/>
    <x v="0"/>
    <n v="270"/>
    <n v="0"/>
    <n v="0"/>
  </r>
  <r>
    <x v="59"/>
    <x v="0"/>
    <n v="298"/>
    <n v="0"/>
    <n v="0"/>
  </r>
  <r>
    <x v="59"/>
    <x v="1"/>
    <n v="1"/>
    <n v="2447209"/>
    <n v="2447209"/>
  </r>
  <r>
    <x v="59"/>
    <x v="1"/>
    <n v="10"/>
    <n v="4903980"/>
    <n v="4903980"/>
  </r>
  <r>
    <x v="59"/>
    <x v="1"/>
    <n v="20"/>
    <n v="0"/>
    <n v="0"/>
  </r>
  <r>
    <x v="59"/>
    <x v="1"/>
    <n v="50"/>
    <n v="0"/>
    <n v="0"/>
  </r>
  <r>
    <x v="59"/>
    <x v="1"/>
    <n v="70"/>
    <n v="0"/>
    <n v="0"/>
  </r>
  <r>
    <x v="59"/>
    <x v="1"/>
    <n v="110"/>
    <n v="0"/>
    <n v="0"/>
  </r>
  <r>
    <x v="59"/>
    <x v="1"/>
    <n v="120"/>
    <n v="0"/>
    <n v="0"/>
  </r>
  <r>
    <x v="59"/>
    <x v="1"/>
    <n v="130"/>
    <n v="0"/>
    <n v="0"/>
  </r>
  <r>
    <x v="59"/>
    <x v="1"/>
    <n v="140"/>
    <n v="0"/>
    <n v="0"/>
  </r>
  <r>
    <x v="59"/>
    <x v="1"/>
    <n v="141"/>
    <n v="6795940"/>
    <n v="-6795940"/>
  </r>
  <r>
    <x v="59"/>
    <x v="1"/>
    <n v="200"/>
    <n v="24478"/>
    <n v="-24478"/>
  </r>
  <r>
    <x v="59"/>
    <x v="1"/>
    <n v="210"/>
    <n v="0"/>
    <n v="0"/>
  </r>
  <r>
    <x v="59"/>
    <x v="1"/>
    <n v="230"/>
    <n v="116030"/>
    <n v="-116030"/>
  </r>
  <r>
    <x v="59"/>
    <x v="1"/>
    <n v="298"/>
    <n v="0"/>
    <n v="0"/>
  </r>
  <r>
    <x v="59"/>
    <x v="2"/>
    <n v="1"/>
    <n v="4398648"/>
    <n v="4398648"/>
  </r>
  <r>
    <x v="59"/>
    <x v="2"/>
    <n v="10"/>
    <n v="6185460"/>
    <n v="6185460"/>
  </r>
  <r>
    <x v="59"/>
    <x v="2"/>
    <n v="20"/>
    <n v="38072"/>
    <n v="38072"/>
  </r>
  <r>
    <x v="59"/>
    <x v="2"/>
    <n v="50"/>
    <n v="4996120"/>
    <n v="4996120"/>
  </r>
  <r>
    <x v="59"/>
    <x v="2"/>
    <n v="70"/>
    <n v="0"/>
    <n v="0"/>
  </r>
  <r>
    <x v="59"/>
    <x v="2"/>
    <n v="110"/>
    <n v="6349340"/>
    <n v="-6349340"/>
  </r>
  <r>
    <x v="59"/>
    <x v="2"/>
    <n v="120"/>
    <n v="0"/>
    <n v="0"/>
  </r>
  <r>
    <x v="59"/>
    <x v="2"/>
    <n v="130"/>
    <n v="0"/>
    <n v="0"/>
  </r>
  <r>
    <x v="59"/>
    <x v="2"/>
    <n v="140"/>
    <n v="22140"/>
    <n v="-22140"/>
  </r>
  <r>
    <x v="59"/>
    <x v="2"/>
    <n v="200"/>
    <n v="30797"/>
    <n v="-30797"/>
  </r>
  <r>
    <x v="59"/>
    <x v="2"/>
    <n v="210"/>
    <n v="35157"/>
    <n v="-35157"/>
  </r>
  <r>
    <x v="59"/>
    <x v="2"/>
    <n v="220"/>
    <n v="0"/>
    <n v="0"/>
  </r>
  <r>
    <x v="59"/>
    <x v="2"/>
    <n v="230"/>
    <n v="41328"/>
    <n v="-41328"/>
  </r>
  <r>
    <x v="59"/>
    <x v="2"/>
    <n v="270"/>
    <n v="0"/>
    <n v="0"/>
  </r>
  <r>
    <x v="59"/>
    <x v="2"/>
    <n v="298"/>
    <n v="0"/>
    <n v="0"/>
  </r>
  <r>
    <x v="59"/>
    <x v="3"/>
    <n v="1"/>
    <n v="8121209"/>
    <n v="8121209"/>
  </r>
  <r>
    <x v="59"/>
    <x v="3"/>
    <n v="10"/>
    <n v="4500640"/>
    <n v="4500640"/>
  </r>
  <r>
    <x v="59"/>
    <x v="3"/>
    <n v="20"/>
    <n v="67871"/>
    <n v="67871"/>
  </r>
  <r>
    <x v="59"/>
    <x v="3"/>
    <n v="50"/>
    <n v="0"/>
    <n v="0"/>
  </r>
  <r>
    <x v="59"/>
    <x v="3"/>
    <n v="70"/>
    <n v="0"/>
    <n v="0"/>
  </r>
  <r>
    <x v="59"/>
    <x v="3"/>
    <n v="110"/>
    <n v="0"/>
    <n v="0"/>
  </r>
  <r>
    <x v="59"/>
    <x v="3"/>
    <n v="120"/>
    <n v="37980"/>
    <n v="-37980"/>
  </r>
  <r>
    <x v="59"/>
    <x v="3"/>
    <n v="130"/>
    <n v="0"/>
    <n v="0"/>
  </r>
  <r>
    <x v="59"/>
    <x v="3"/>
    <n v="140"/>
    <n v="0"/>
    <n v="0"/>
  </r>
  <r>
    <x v="59"/>
    <x v="3"/>
    <n v="141"/>
    <n v="12400820"/>
    <n v="-12400820"/>
  </r>
  <r>
    <x v="59"/>
    <x v="3"/>
    <n v="200"/>
    <n v="44755"/>
    <n v="-44755"/>
  </r>
  <r>
    <x v="59"/>
    <x v="3"/>
    <n v="210"/>
    <n v="1794"/>
    <n v="-1794"/>
  </r>
  <r>
    <x v="59"/>
    <x v="3"/>
    <n v="220"/>
    <n v="0"/>
    <n v="0"/>
  </r>
  <r>
    <x v="59"/>
    <x v="3"/>
    <n v="230"/>
    <n v="46839"/>
    <n v="-46839"/>
  </r>
  <r>
    <x v="59"/>
    <x v="3"/>
    <n v="298"/>
    <n v="0"/>
    <n v="0"/>
  </r>
  <r>
    <x v="60"/>
    <x v="0"/>
    <n v="1"/>
    <n v="20322653"/>
    <n v="20322653"/>
  </r>
  <r>
    <x v="60"/>
    <x v="0"/>
    <n v="10"/>
    <n v="8536480"/>
    <n v="8536480"/>
  </r>
  <r>
    <x v="60"/>
    <x v="0"/>
    <n v="20"/>
    <n v="0"/>
    <n v="0"/>
  </r>
  <r>
    <x v="60"/>
    <x v="0"/>
    <n v="50"/>
    <n v="3462880"/>
    <n v="3462880"/>
  </r>
  <r>
    <x v="60"/>
    <x v="0"/>
    <n v="70"/>
    <n v="0"/>
    <n v="0"/>
  </r>
  <r>
    <x v="60"/>
    <x v="0"/>
    <n v="100"/>
    <n v="0"/>
    <n v="0"/>
  </r>
  <r>
    <x v="60"/>
    <x v="0"/>
    <n v="110"/>
    <n v="21121240"/>
    <n v="-21121240"/>
  </r>
  <r>
    <x v="60"/>
    <x v="0"/>
    <n v="120"/>
    <n v="0"/>
    <n v="0"/>
  </r>
  <r>
    <x v="60"/>
    <x v="0"/>
    <n v="130"/>
    <n v="0"/>
    <n v="0"/>
  </r>
  <r>
    <x v="60"/>
    <x v="0"/>
    <n v="140"/>
    <n v="0"/>
    <n v="0"/>
  </r>
  <r>
    <x v="60"/>
    <x v="0"/>
    <n v="200"/>
    <n v="42682"/>
    <n v="-42682"/>
  </r>
  <r>
    <x v="60"/>
    <x v="0"/>
    <n v="210"/>
    <n v="69970"/>
    <n v="-69970"/>
  </r>
  <r>
    <x v="60"/>
    <x v="0"/>
    <n v="220"/>
    <n v="0"/>
    <n v="0"/>
  </r>
  <r>
    <x v="60"/>
    <x v="0"/>
    <n v="230"/>
    <n v="0"/>
    <n v="0"/>
  </r>
  <r>
    <x v="60"/>
    <x v="0"/>
    <n v="298"/>
    <n v="0"/>
    <n v="0"/>
  </r>
  <r>
    <x v="60"/>
    <x v="1"/>
    <n v="1"/>
    <n v="0"/>
    <n v="0"/>
  </r>
  <r>
    <x v="60"/>
    <x v="1"/>
    <n v="10"/>
    <n v="0"/>
    <n v="0"/>
  </r>
  <r>
    <x v="60"/>
    <x v="1"/>
    <n v="20"/>
    <n v="0"/>
    <n v="0"/>
  </r>
  <r>
    <x v="60"/>
    <x v="1"/>
    <n v="120"/>
    <n v="0"/>
    <n v="0"/>
  </r>
  <r>
    <x v="60"/>
    <x v="1"/>
    <n v="130"/>
    <n v="0"/>
    <n v="0"/>
  </r>
  <r>
    <x v="60"/>
    <x v="1"/>
    <n v="200"/>
    <n v="0"/>
    <n v="0"/>
  </r>
  <r>
    <x v="60"/>
    <x v="1"/>
    <n v="210"/>
    <n v="0"/>
    <n v="0"/>
  </r>
  <r>
    <x v="60"/>
    <x v="1"/>
    <n v="220"/>
    <n v="0"/>
    <n v="0"/>
  </r>
  <r>
    <x v="60"/>
    <x v="1"/>
    <n v="230"/>
    <n v="0"/>
    <n v="0"/>
  </r>
  <r>
    <x v="60"/>
    <x v="1"/>
    <n v="298"/>
    <n v="0"/>
    <n v="0"/>
  </r>
  <r>
    <x v="60"/>
    <x v="2"/>
    <n v="1"/>
    <n v="0"/>
    <n v="0"/>
  </r>
  <r>
    <x v="60"/>
    <x v="2"/>
    <n v="50"/>
    <n v="0"/>
    <n v="0"/>
  </r>
  <r>
    <x v="60"/>
    <x v="2"/>
    <n v="110"/>
    <n v="0"/>
    <n v="0"/>
  </r>
  <r>
    <x v="60"/>
    <x v="2"/>
    <n v="140"/>
    <n v="0"/>
    <n v="0"/>
  </r>
  <r>
    <x v="60"/>
    <x v="2"/>
    <n v="220"/>
    <n v="0"/>
    <n v="0"/>
  </r>
  <r>
    <x v="61"/>
    <x v="0"/>
    <n v="1"/>
    <n v="4875530"/>
    <n v="4875530"/>
  </r>
  <r>
    <x v="61"/>
    <x v="0"/>
    <n v="10"/>
    <n v="33957160"/>
    <n v="33957160"/>
  </r>
  <r>
    <x v="61"/>
    <x v="0"/>
    <n v="20"/>
    <n v="0"/>
    <n v="0"/>
  </r>
  <r>
    <x v="61"/>
    <x v="0"/>
    <n v="50"/>
    <n v="37020"/>
    <n v="37020"/>
  </r>
  <r>
    <x v="61"/>
    <x v="0"/>
    <n v="70"/>
    <n v="-466673"/>
    <n v="-466673"/>
  </r>
  <r>
    <x v="61"/>
    <x v="0"/>
    <n v="110"/>
    <n v="7603600"/>
    <n v="-7603600"/>
  </r>
  <r>
    <x v="61"/>
    <x v="0"/>
    <n v="120"/>
    <n v="0"/>
    <n v="0"/>
  </r>
  <r>
    <x v="61"/>
    <x v="0"/>
    <n v="130"/>
    <n v="210460"/>
    <n v="-210460"/>
  </r>
  <r>
    <x v="61"/>
    <x v="0"/>
    <n v="140"/>
    <n v="25922380"/>
    <n v="-25922380"/>
  </r>
  <r>
    <x v="61"/>
    <x v="0"/>
    <n v="150"/>
    <n v="0"/>
    <n v="0"/>
  </r>
  <r>
    <x v="61"/>
    <x v="0"/>
    <n v="200"/>
    <n v="168512"/>
    <n v="-168512"/>
  </r>
  <r>
    <x v="61"/>
    <x v="0"/>
    <n v="210"/>
    <n v="166008"/>
    <n v="-166008"/>
  </r>
  <r>
    <x v="61"/>
    <x v="0"/>
    <n v="230"/>
    <n v="0"/>
    <n v="0"/>
  </r>
  <r>
    <x v="61"/>
    <x v="0"/>
    <n v="298"/>
    <n v="0"/>
    <n v="0"/>
  </r>
  <r>
    <x v="61"/>
    <x v="1"/>
    <n v="1"/>
    <n v="-132763"/>
    <n v="-132763"/>
  </r>
  <r>
    <x v="61"/>
    <x v="1"/>
    <n v="10"/>
    <n v="11686400"/>
    <n v="11686400"/>
  </r>
  <r>
    <x v="61"/>
    <x v="1"/>
    <n v="20"/>
    <n v="0"/>
    <n v="0"/>
  </r>
  <r>
    <x v="61"/>
    <x v="1"/>
    <n v="50"/>
    <n v="73320"/>
    <n v="73320"/>
  </r>
  <r>
    <x v="61"/>
    <x v="1"/>
    <n v="70"/>
    <n v="83876"/>
    <n v="83876"/>
  </r>
  <r>
    <x v="61"/>
    <x v="1"/>
    <n v="110"/>
    <n v="0"/>
    <n v="0"/>
  </r>
  <r>
    <x v="61"/>
    <x v="1"/>
    <n v="120"/>
    <n v="0"/>
    <n v="0"/>
  </r>
  <r>
    <x v="61"/>
    <x v="1"/>
    <n v="130"/>
    <n v="0"/>
    <n v="0"/>
  </r>
  <r>
    <x v="61"/>
    <x v="1"/>
    <n v="140"/>
    <n v="97960"/>
    <n v="-97960"/>
  </r>
  <r>
    <x v="61"/>
    <x v="1"/>
    <n v="141"/>
    <n v="851660"/>
    <n v="-851660"/>
  </r>
  <r>
    <x v="61"/>
    <x v="1"/>
    <n v="150"/>
    <n v="0"/>
    <n v="0"/>
  </r>
  <r>
    <x v="61"/>
    <x v="1"/>
    <n v="160"/>
    <n v="0"/>
    <n v="0"/>
  </r>
  <r>
    <x v="61"/>
    <x v="1"/>
    <n v="200"/>
    <n v="58386"/>
    <n v="-58386"/>
  </r>
  <r>
    <x v="61"/>
    <x v="1"/>
    <n v="210"/>
    <n v="0"/>
    <n v="0"/>
  </r>
  <r>
    <x v="61"/>
    <x v="1"/>
    <n v="230"/>
    <n v="237789"/>
    <n v="-237789"/>
  </r>
  <r>
    <x v="61"/>
    <x v="1"/>
    <n v="298"/>
    <n v="0"/>
    <n v="0"/>
  </r>
  <r>
    <x v="61"/>
    <x v="2"/>
    <n v="1"/>
    <n v="23769884"/>
    <n v="23769884"/>
  </r>
  <r>
    <x v="61"/>
    <x v="2"/>
    <n v="10"/>
    <n v="12963440"/>
    <n v="12963440"/>
  </r>
  <r>
    <x v="61"/>
    <x v="2"/>
    <n v="20"/>
    <n v="0"/>
    <n v="0"/>
  </r>
  <r>
    <x v="61"/>
    <x v="2"/>
    <n v="50"/>
    <n v="62300"/>
    <n v="62300"/>
  </r>
  <r>
    <x v="61"/>
    <x v="2"/>
    <n v="70"/>
    <n v="-6840"/>
    <n v="-6840"/>
  </r>
  <r>
    <x v="61"/>
    <x v="2"/>
    <n v="100"/>
    <n v="0"/>
    <n v="0"/>
  </r>
  <r>
    <x v="61"/>
    <x v="2"/>
    <n v="110"/>
    <n v="24138700"/>
    <n v="-24138700"/>
  </r>
  <r>
    <x v="61"/>
    <x v="2"/>
    <n v="120"/>
    <n v="0"/>
    <n v="0"/>
  </r>
  <r>
    <x v="61"/>
    <x v="2"/>
    <n v="130"/>
    <n v="0"/>
    <n v="0"/>
  </r>
  <r>
    <x v="61"/>
    <x v="2"/>
    <n v="140"/>
    <n v="0"/>
    <n v="0"/>
  </r>
  <r>
    <x v="61"/>
    <x v="2"/>
    <n v="150"/>
    <n v="0"/>
    <n v="0"/>
  </r>
  <r>
    <x v="61"/>
    <x v="2"/>
    <n v="200"/>
    <n v="63355"/>
    <n v="-63355"/>
  </r>
  <r>
    <x v="61"/>
    <x v="2"/>
    <n v="210"/>
    <n v="13885"/>
    <n v="-13885"/>
  </r>
  <r>
    <x v="61"/>
    <x v="2"/>
    <n v="230"/>
    <n v="107389"/>
    <n v="-107389"/>
  </r>
  <r>
    <x v="61"/>
    <x v="2"/>
    <n v="270"/>
    <n v="0"/>
    <n v="0"/>
  </r>
  <r>
    <x v="61"/>
    <x v="2"/>
    <n v="298"/>
    <n v="0"/>
    <n v="0"/>
  </r>
  <r>
    <x v="61"/>
    <x v="3"/>
    <n v="1"/>
    <n v="0"/>
    <n v="0"/>
  </r>
  <r>
    <x v="61"/>
    <x v="3"/>
    <n v="10"/>
    <n v="11580"/>
    <n v="11580"/>
  </r>
  <r>
    <x v="61"/>
    <x v="3"/>
    <n v="20"/>
    <n v="0"/>
    <n v="0"/>
  </r>
  <r>
    <x v="61"/>
    <x v="3"/>
    <n v="50"/>
    <n v="12200"/>
    <n v="12200"/>
  </r>
  <r>
    <x v="61"/>
    <x v="3"/>
    <n v="70"/>
    <n v="-12200"/>
    <n v="-12200"/>
  </r>
  <r>
    <x v="61"/>
    <x v="3"/>
    <n v="110"/>
    <n v="0"/>
    <n v="0"/>
  </r>
  <r>
    <x v="61"/>
    <x v="3"/>
    <n v="120"/>
    <n v="0"/>
    <n v="0"/>
  </r>
  <r>
    <x v="61"/>
    <x v="3"/>
    <n v="130"/>
    <n v="0"/>
    <n v="0"/>
  </r>
  <r>
    <x v="61"/>
    <x v="3"/>
    <n v="140"/>
    <n v="11580"/>
    <n v="-11580"/>
  </r>
  <r>
    <x v="61"/>
    <x v="3"/>
    <n v="150"/>
    <n v="0"/>
    <n v="0"/>
  </r>
  <r>
    <x v="61"/>
    <x v="3"/>
    <n v="200"/>
    <n v="0"/>
    <n v="0"/>
  </r>
  <r>
    <x v="61"/>
    <x v="3"/>
    <n v="220"/>
    <n v="0"/>
    <n v="0"/>
  </r>
  <r>
    <x v="61"/>
    <x v="3"/>
    <n v="230"/>
    <n v="0"/>
    <n v="0"/>
  </r>
  <r>
    <x v="61"/>
    <x v="3"/>
    <n v="260"/>
    <n v="0"/>
    <n v="0"/>
  </r>
  <r>
    <x v="62"/>
    <x v="0"/>
    <n v="1"/>
    <n v="2764608"/>
    <n v="2764608"/>
  </r>
  <r>
    <x v="62"/>
    <x v="0"/>
    <n v="10"/>
    <n v="24054985"/>
    <n v="24054985"/>
  </r>
  <r>
    <x v="62"/>
    <x v="0"/>
    <n v="20"/>
    <n v="0"/>
    <n v="0"/>
  </r>
  <r>
    <x v="62"/>
    <x v="0"/>
    <n v="50"/>
    <n v="0"/>
    <n v="0"/>
  </r>
  <r>
    <x v="62"/>
    <x v="0"/>
    <n v="110"/>
    <n v="52200"/>
    <n v="-52200"/>
  </r>
  <r>
    <x v="62"/>
    <x v="0"/>
    <n v="130"/>
    <n v="0"/>
    <n v="0"/>
  </r>
  <r>
    <x v="62"/>
    <x v="0"/>
    <n v="140"/>
    <n v="23886440"/>
    <n v="-23886440"/>
  </r>
  <r>
    <x v="62"/>
    <x v="0"/>
    <n v="150"/>
    <n v="0"/>
    <n v="0"/>
  </r>
  <r>
    <x v="62"/>
    <x v="0"/>
    <n v="160"/>
    <n v="0"/>
    <n v="0"/>
  </r>
  <r>
    <x v="62"/>
    <x v="0"/>
    <n v="200"/>
    <n v="119673"/>
    <n v="-119673"/>
  </r>
  <r>
    <x v="62"/>
    <x v="0"/>
    <n v="210"/>
    <n v="217638"/>
    <n v="-217638"/>
  </r>
  <r>
    <x v="62"/>
    <x v="0"/>
    <n v="230"/>
    <n v="0"/>
    <n v="0"/>
  </r>
  <r>
    <x v="62"/>
    <x v="0"/>
    <n v="260"/>
    <n v="0"/>
    <n v="0"/>
  </r>
  <r>
    <x v="62"/>
    <x v="0"/>
    <n v="298"/>
    <n v="0"/>
    <n v="0"/>
  </r>
  <r>
    <x v="62"/>
    <x v="1"/>
    <n v="1"/>
    <n v="0"/>
    <n v="0"/>
  </r>
  <r>
    <x v="62"/>
    <x v="1"/>
    <n v="10"/>
    <n v="229500"/>
    <n v="229500"/>
  </r>
  <r>
    <x v="62"/>
    <x v="1"/>
    <n v="20"/>
    <n v="0"/>
    <n v="0"/>
  </r>
  <r>
    <x v="62"/>
    <x v="1"/>
    <n v="50"/>
    <n v="0"/>
    <n v="0"/>
  </r>
  <r>
    <x v="62"/>
    <x v="1"/>
    <n v="70"/>
    <n v="-147960"/>
    <n v="-147960"/>
  </r>
  <r>
    <x v="62"/>
    <x v="1"/>
    <n v="110"/>
    <n v="0"/>
    <n v="0"/>
  </r>
  <r>
    <x v="62"/>
    <x v="1"/>
    <n v="120"/>
    <n v="0"/>
    <n v="0"/>
  </r>
  <r>
    <x v="62"/>
    <x v="1"/>
    <n v="130"/>
    <n v="0"/>
    <n v="0"/>
  </r>
  <r>
    <x v="62"/>
    <x v="1"/>
    <n v="140"/>
    <n v="75940"/>
    <n v="-75940"/>
  </r>
  <r>
    <x v="62"/>
    <x v="1"/>
    <n v="150"/>
    <n v="0"/>
    <n v="0"/>
  </r>
  <r>
    <x v="62"/>
    <x v="1"/>
    <n v="160"/>
    <n v="0"/>
    <n v="0"/>
  </r>
  <r>
    <x v="62"/>
    <x v="1"/>
    <n v="200"/>
    <n v="768"/>
    <n v="-768"/>
  </r>
  <r>
    <x v="62"/>
    <x v="1"/>
    <n v="210"/>
    <n v="0"/>
    <n v="0"/>
  </r>
  <r>
    <x v="62"/>
    <x v="1"/>
    <n v="230"/>
    <n v="5600"/>
    <n v="-5600"/>
  </r>
  <r>
    <x v="62"/>
    <x v="1"/>
    <n v="260"/>
    <n v="0"/>
    <n v="0"/>
  </r>
  <r>
    <x v="62"/>
    <x v="1"/>
    <n v="298"/>
    <n v="0"/>
    <n v="0"/>
  </r>
  <r>
    <x v="62"/>
    <x v="2"/>
    <n v="1"/>
    <n v="9081986"/>
    <n v="9081986"/>
  </r>
  <r>
    <x v="62"/>
    <x v="2"/>
    <n v="10"/>
    <n v="32625720"/>
    <n v="32625720"/>
  </r>
  <r>
    <x v="62"/>
    <x v="2"/>
    <n v="20"/>
    <n v="0"/>
    <n v="0"/>
  </r>
  <r>
    <x v="62"/>
    <x v="2"/>
    <n v="50"/>
    <n v="0"/>
    <n v="0"/>
  </r>
  <r>
    <x v="62"/>
    <x v="2"/>
    <n v="70"/>
    <n v="230994"/>
    <n v="230994"/>
  </r>
  <r>
    <x v="62"/>
    <x v="2"/>
    <n v="110"/>
    <n v="9312980"/>
    <n v="-9312980"/>
  </r>
  <r>
    <x v="62"/>
    <x v="2"/>
    <n v="120"/>
    <n v="0"/>
    <n v="0"/>
  </r>
  <r>
    <x v="62"/>
    <x v="2"/>
    <n v="130"/>
    <n v="0"/>
    <n v="0"/>
  </r>
  <r>
    <x v="62"/>
    <x v="2"/>
    <n v="140"/>
    <n v="18080"/>
    <n v="-18080"/>
  </r>
  <r>
    <x v="62"/>
    <x v="2"/>
    <n v="150"/>
    <n v="0"/>
    <n v="0"/>
  </r>
  <r>
    <x v="62"/>
    <x v="2"/>
    <n v="160"/>
    <n v="0"/>
    <n v="0"/>
  </r>
  <r>
    <x v="62"/>
    <x v="2"/>
    <n v="200"/>
    <n v="162961"/>
    <n v="-162961"/>
  </r>
  <r>
    <x v="62"/>
    <x v="2"/>
    <n v="210"/>
    <n v="112476"/>
    <n v="-112476"/>
  </r>
  <r>
    <x v="62"/>
    <x v="2"/>
    <n v="230"/>
    <n v="150023"/>
    <n v="-150023"/>
  </r>
  <r>
    <x v="62"/>
    <x v="2"/>
    <n v="260"/>
    <n v="0"/>
    <n v="0"/>
  </r>
  <r>
    <x v="62"/>
    <x v="3"/>
    <n v="1"/>
    <n v="53720654"/>
    <n v="53720654"/>
  </r>
  <r>
    <x v="62"/>
    <x v="3"/>
    <n v="10"/>
    <n v="68482690"/>
    <n v="68482690"/>
  </r>
  <r>
    <x v="62"/>
    <x v="3"/>
    <n v="50"/>
    <n v="14829520"/>
    <n v="14829520"/>
  </r>
  <r>
    <x v="62"/>
    <x v="3"/>
    <n v="70"/>
    <n v="303400"/>
    <n v="303400"/>
  </r>
  <r>
    <x v="62"/>
    <x v="3"/>
    <n v="100"/>
    <n v="0"/>
    <n v="0"/>
  </r>
  <r>
    <x v="62"/>
    <x v="3"/>
    <n v="110"/>
    <n v="26401357"/>
    <n v="-26401357"/>
  </r>
  <r>
    <x v="62"/>
    <x v="3"/>
    <n v="120"/>
    <n v="0"/>
    <n v="0"/>
  </r>
  <r>
    <x v="62"/>
    <x v="3"/>
    <n v="130"/>
    <n v="23103"/>
    <n v="-23103"/>
  </r>
  <r>
    <x v="62"/>
    <x v="3"/>
    <n v="140"/>
    <n v="3160320"/>
    <n v="-3160320"/>
  </r>
  <r>
    <x v="62"/>
    <x v="3"/>
    <n v="141"/>
    <n v="52137740"/>
    <n v="-52137740"/>
  </r>
  <r>
    <x v="62"/>
    <x v="3"/>
    <n v="150"/>
    <n v="0"/>
    <n v="0"/>
  </r>
  <r>
    <x v="62"/>
    <x v="3"/>
    <n v="160"/>
    <n v="0"/>
    <n v="0"/>
  </r>
  <r>
    <x v="62"/>
    <x v="3"/>
    <n v="200"/>
    <n v="673267"/>
    <n v="-673267"/>
  </r>
  <r>
    <x v="62"/>
    <x v="3"/>
    <n v="210"/>
    <n v="3577"/>
    <n v="-3577"/>
  </r>
  <r>
    <x v="62"/>
    <x v="3"/>
    <n v="220"/>
    <n v="0"/>
    <n v="0"/>
  </r>
  <r>
    <x v="62"/>
    <x v="3"/>
    <n v="230"/>
    <n v="489379"/>
    <n v="-489379"/>
  </r>
  <r>
    <x v="62"/>
    <x v="3"/>
    <n v="260"/>
    <n v="0"/>
    <n v="0"/>
  </r>
  <r>
    <x v="62"/>
    <x v="3"/>
    <n v="298"/>
    <n v="0"/>
    <n v="0"/>
  </r>
  <r>
    <x v="63"/>
    <x v="0"/>
    <n v="50"/>
    <n v="0"/>
    <n v="0"/>
  </r>
  <r>
    <x v="63"/>
    <x v="1"/>
    <n v="1"/>
    <n v="16529"/>
    <n v="16529"/>
  </r>
  <r>
    <x v="63"/>
    <x v="1"/>
    <n v="50"/>
    <n v="173900"/>
    <n v="173900"/>
  </r>
  <r>
    <x v="63"/>
    <x v="1"/>
    <n v="110"/>
    <n v="2619"/>
    <n v="-2619"/>
  </r>
  <r>
    <x v="63"/>
    <x v="1"/>
    <n v="130"/>
    <n v="169221"/>
    <n v="-169221"/>
  </r>
  <r>
    <x v="63"/>
    <x v="2"/>
    <n v="50"/>
    <n v="0"/>
    <n v="0"/>
  </r>
  <r>
    <x v="63"/>
    <x v="3"/>
    <n v="1"/>
    <n v="388111"/>
    <n v="388111"/>
  </r>
  <r>
    <x v="63"/>
    <x v="3"/>
    <n v="50"/>
    <n v="3313420"/>
    <n v="3313420"/>
  </r>
  <r>
    <x v="63"/>
    <x v="3"/>
    <n v="110"/>
    <n v="1419278"/>
    <n v="-1419278"/>
  </r>
  <r>
    <x v="63"/>
    <x v="3"/>
    <n v="130"/>
    <n v="2091724"/>
    <n v="-2091724"/>
  </r>
  <r>
    <x v="63"/>
    <x v="3"/>
    <n v="140"/>
    <n v="0"/>
    <n v="0"/>
  </r>
  <r>
    <x v="64"/>
    <x v="0"/>
    <n v="1"/>
    <n v="189034"/>
    <n v="189034"/>
  </r>
  <r>
    <x v="64"/>
    <x v="0"/>
    <n v="10"/>
    <n v="21445100"/>
    <n v="21445100"/>
  </r>
  <r>
    <x v="64"/>
    <x v="0"/>
    <n v="20"/>
    <n v="0"/>
    <n v="0"/>
  </r>
  <r>
    <x v="64"/>
    <x v="0"/>
    <n v="50"/>
    <n v="0"/>
    <n v="0"/>
  </r>
  <r>
    <x v="64"/>
    <x v="0"/>
    <n v="70"/>
    <n v="466673"/>
    <n v="466673"/>
  </r>
  <r>
    <x v="64"/>
    <x v="0"/>
    <n v="110"/>
    <n v="379980"/>
    <n v="-379980"/>
  </r>
  <r>
    <x v="64"/>
    <x v="0"/>
    <n v="140"/>
    <n v="21360840"/>
    <n v="-21360840"/>
  </r>
  <r>
    <x v="64"/>
    <x v="0"/>
    <n v="150"/>
    <n v="0"/>
    <n v="0"/>
  </r>
  <r>
    <x v="64"/>
    <x v="0"/>
    <n v="200"/>
    <n v="106421"/>
    <n v="-106421"/>
  </r>
  <r>
    <x v="64"/>
    <x v="0"/>
    <n v="210"/>
    <n v="183584"/>
    <n v="-183584"/>
  </r>
  <r>
    <x v="64"/>
    <x v="0"/>
    <n v="230"/>
    <n v="0"/>
    <n v="0"/>
  </r>
  <r>
    <x v="64"/>
    <x v="0"/>
    <n v="298"/>
    <n v="0"/>
    <n v="0"/>
  </r>
  <r>
    <x v="64"/>
    <x v="1"/>
    <n v="1"/>
    <n v="3446323"/>
    <n v="3446323"/>
  </r>
  <r>
    <x v="64"/>
    <x v="1"/>
    <n v="10"/>
    <n v="8435340"/>
    <n v="8435340"/>
  </r>
  <r>
    <x v="64"/>
    <x v="1"/>
    <n v="20"/>
    <n v="0"/>
    <n v="0"/>
  </r>
  <r>
    <x v="64"/>
    <x v="1"/>
    <n v="40"/>
    <n v="0"/>
    <n v="0"/>
  </r>
  <r>
    <x v="64"/>
    <x v="1"/>
    <n v="50"/>
    <n v="0"/>
    <n v="0"/>
  </r>
  <r>
    <x v="64"/>
    <x v="1"/>
    <n v="70"/>
    <n v="-74403"/>
    <n v="-74403"/>
  </r>
  <r>
    <x v="64"/>
    <x v="1"/>
    <n v="110"/>
    <n v="3371920"/>
    <n v="-3371920"/>
  </r>
  <r>
    <x v="64"/>
    <x v="1"/>
    <n v="120"/>
    <n v="0"/>
    <n v="0"/>
  </r>
  <r>
    <x v="64"/>
    <x v="1"/>
    <n v="130"/>
    <n v="0"/>
    <n v="0"/>
  </r>
  <r>
    <x v="64"/>
    <x v="1"/>
    <n v="140"/>
    <n v="0"/>
    <n v="0"/>
  </r>
  <r>
    <x v="64"/>
    <x v="1"/>
    <n v="141"/>
    <n v="1981260"/>
    <n v="-1981260"/>
  </r>
  <r>
    <x v="64"/>
    <x v="1"/>
    <n v="150"/>
    <n v="0"/>
    <n v="0"/>
  </r>
  <r>
    <x v="64"/>
    <x v="1"/>
    <n v="200"/>
    <n v="42177"/>
    <n v="-42177"/>
  </r>
  <r>
    <x v="64"/>
    <x v="1"/>
    <n v="210"/>
    <n v="0"/>
    <n v="0"/>
  </r>
  <r>
    <x v="64"/>
    <x v="1"/>
    <n v="220"/>
    <n v="0"/>
    <n v="0"/>
  </r>
  <r>
    <x v="64"/>
    <x v="1"/>
    <n v="230"/>
    <n v="195272"/>
    <n v="-195272"/>
  </r>
  <r>
    <x v="64"/>
    <x v="1"/>
    <n v="298"/>
    <n v="0"/>
    <n v="0"/>
  </r>
  <r>
    <x v="64"/>
    <x v="2"/>
    <n v="1"/>
    <n v="15645794"/>
    <n v="15645794"/>
  </r>
  <r>
    <x v="64"/>
    <x v="2"/>
    <n v="10"/>
    <n v="16962880"/>
    <n v="16962880"/>
  </r>
  <r>
    <x v="64"/>
    <x v="2"/>
    <n v="20"/>
    <n v="0"/>
    <n v="0"/>
  </r>
  <r>
    <x v="64"/>
    <x v="2"/>
    <n v="50"/>
    <n v="334720"/>
    <n v="334720"/>
  </r>
  <r>
    <x v="64"/>
    <x v="2"/>
    <n v="70"/>
    <n v="-140194"/>
    <n v="-140194"/>
  </r>
  <r>
    <x v="64"/>
    <x v="2"/>
    <n v="110"/>
    <n v="15511100"/>
    <n v="-15511100"/>
  </r>
  <r>
    <x v="64"/>
    <x v="2"/>
    <n v="130"/>
    <n v="0"/>
    <n v="0"/>
  </r>
  <r>
    <x v="64"/>
    <x v="2"/>
    <n v="140"/>
    <n v="0"/>
    <n v="0"/>
  </r>
  <r>
    <x v="64"/>
    <x v="2"/>
    <n v="150"/>
    <n v="0"/>
    <n v="0"/>
  </r>
  <r>
    <x v="64"/>
    <x v="2"/>
    <n v="200"/>
    <n v="84787"/>
    <n v="-84787"/>
  </r>
  <r>
    <x v="64"/>
    <x v="2"/>
    <n v="210"/>
    <n v="8235"/>
    <n v="-8235"/>
  </r>
  <r>
    <x v="64"/>
    <x v="2"/>
    <n v="220"/>
    <n v="0"/>
    <n v="0"/>
  </r>
  <r>
    <x v="64"/>
    <x v="2"/>
    <n v="230"/>
    <n v="61520"/>
    <n v="-61520"/>
  </r>
  <r>
    <x v="64"/>
    <x v="2"/>
    <n v="270"/>
    <n v="0"/>
    <n v="0"/>
  </r>
  <r>
    <x v="64"/>
    <x v="2"/>
    <n v="298"/>
    <n v="0"/>
    <n v="0"/>
  </r>
  <r>
    <x v="64"/>
    <x v="3"/>
    <n v="1"/>
    <n v="21192205"/>
    <n v="21192205"/>
  </r>
  <r>
    <x v="64"/>
    <x v="3"/>
    <n v="10"/>
    <n v="26940860"/>
    <n v="26940860"/>
  </r>
  <r>
    <x v="64"/>
    <x v="3"/>
    <n v="40"/>
    <n v="0"/>
    <n v="0"/>
  </r>
  <r>
    <x v="64"/>
    <x v="3"/>
    <n v="50"/>
    <n v="114940"/>
    <n v="114940"/>
  </r>
  <r>
    <x v="64"/>
    <x v="3"/>
    <n v="70"/>
    <n v="-436139"/>
    <n v="-436139"/>
  </r>
  <r>
    <x v="64"/>
    <x v="3"/>
    <n v="110"/>
    <n v="38796096"/>
    <n v="-38796096"/>
  </r>
  <r>
    <x v="64"/>
    <x v="3"/>
    <n v="120"/>
    <n v="0"/>
    <n v="0"/>
  </r>
  <r>
    <x v="64"/>
    <x v="3"/>
    <n v="130"/>
    <n v="0"/>
    <n v="0"/>
  </r>
  <r>
    <x v="64"/>
    <x v="3"/>
    <n v="140"/>
    <n v="172180"/>
    <n v="-172180"/>
  </r>
  <r>
    <x v="64"/>
    <x v="3"/>
    <n v="150"/>
    <n v="0"/>
    <n v="0"/>
  </r>
  <r>
    <x v="64"/>
    <x v="3"/>
    <n v="200"/>
    <n v="268914"/>
    <n v="-268914"/>
  </r>
  <r>
    <x v="64"/>
    <x v="3"/>
    <n v="210"/>
    <n v="1734"/>
    <n v="-1734"/>
  </r>
  <r>
    <x v="64"/>
    <x v="3"/>
    <n v="220"/>
    <n v="0"/>
    <n v="0"/>
  </r>
  <r>
    <x v="64"/>
    <x v="3"/>
    <n v="230"/>
    <n v="69783"/>
    <n v="-69783"/>
  </r>
  <r>
    <x v="64"/>
    <x v="3"/>
    <n v="298"/>
    <n v="0"/>
    <n v="0"/>
  </r>
  <r>
    <x v="65"/>
    <x v="0"/>
    <n v="1"/>
    <n v="8236668"/>
    <n v="8236668"/>
  </r>
  <r>
    <x v="65"/>
    <x v="0"/>
    <n v="10"/>
    <n v="17430160"/>
    <n v="17430160"/>
  </r>
  <r>
    <x v="65"/>
    <x v="0"/>
    <n v="20"/>
    <n v="0"/>
    <n v="0"/>
  </r>
  <r>
    <x v="65"/>
    <x v="0"/>
    <n v="50"/>
    <n v="0"/>
    <n v="0"/>
  </r>
  <r>
    <x v="65"/>
    <x v="0"/>
    <n v="70"/>
    <n v="0"/>
    <n v="0"/>
  </r>
  <r>
    <x v="65"/>
    <x v="0"/>
    <n v="100"/>
    <n v="0"/>
    <n v="0"/>
  </r>
  <r>
    <x v="65"/>
    <x v="0"/>
    <n v="110"/>
    <n v="0"/>
    <n v="0"/>
  </r>
  <r>
    <x v="65"/>
    <x v="0"/>
    <n v="120"/>
    <n v="0"/>
    <n v="0"/>
  </r>
  <r>
    <x v="65"/>
    <x v="0"/>
    <n v="140"/>
    <n v="0"/>
    <n v="0"/>
  </r>
  <r>
    <x v="65"/>
    <x v="0"/>
    <n v="200"/>
    <n v="86638"/>
    <n v="-86638"/>
  </r>
  <r>
    <x v="65"/>
    <x v="0"/>
    <n v="210"/>
    <n v="205633"/>
    <n v="-205633"/>
  </r>
  <r>
    <x v="65"/>
    <x v="0"/>
    <n v="230"/>
    <n v="0"/>
    <n v="0"/>
  </r>
  <r>
    <x v="65"/>
    <x v="0"/>
    <n v="298"/>
    <n v="0"/>
    <n v="0"/>
  </r>
  <r>
    <x v="65"/>
    <x v="1"/>
    <n v="1"/>
    <n v="6445168"/>
    <n v="6445168"/>
  </r>
  <r>
    <x v="65"/>
    <x v="1"/>
    <n v="10"/>
    <n v="2915880"/>
    <n v="2915880"/>
  </r>
  <r>
    <x v="65"/>
    <x v="1"/>
    <n v="50"/>
    <n v="0"/>
    <n v="0"/>
  </r>
  <r>
    <x v="65"/>
    <x v="1"/>
    <n v="70"/>
    <n v="0"/>
    <n v="0"/>
  </r>
  <r>
    <x v="65"/>
    <x v="1"/>
    <n v="110"/>
    <n v="2043060"/>
    <n v="-2043060"/>
  </r>
  <r>
    <x v="65"/>
    <x v="1"/>
    <n v="130"/>
    <n v="0"/>
    <n v="0"/>
  </r>
  <r>
    <x v="65"/>
    <x v="1"/>
    <n v="140"/>
    <n v="0"/>
    <n v="0"/>
  </r>
  <r>
    <x v="65"/>
    <x v="1"/>
    <n v="141"/>
    <n v="6146800"/>
    <n v="-6146800"/>
  </r>
  <r>
    <x v="65"/>
    <x v="1"/>
    <n v="150"/>
    <n v="0"/>
    <n v="0"/>
  </r>
  <r>
    <x v="65"/>
    <x v="1"/>
    <n v="200"/>
    <n v="14537"/>
    <n v="-14537"/>
  </r>
  <r>
    <x v="65"/>
    <x v="1"/>
    <n v="210"/>
    <n v="0"/>
    <n v="0"/>
  </r>
  <r>
    <x v="65"/>
    <x v="1"/>
    <n v="220"/>
    <n v="0"/>
    <n v="0"/>
  </r>
  <r>
    <x v="65"/>
    <x v="1"/>
    <n v="230"/>
    <n v="63994"/>
    <n v="-63994"/>
  </r>
  <r>
    <x v="65"/>
    <x v="1"/>
    <n v="298"/>
    <n v="0"/>
    <n v="0"/>
  </r>
  <r>
    <x v="65"/>
    <x v="2"/>
    <n v="1"/>
    <n v="17837312"/>
    <n v="17837312"/>
  </r>
  <r>
    <x v="65"/>
    <x v="2"/>
    <n v="10"/>
    <n v="17424280"/>
    <n v="17424280"/>
  </r>
  <r>
    <x v="65"/>
    <x v="2"/>
    <n v="20"/>
    <n v="0"/>
    <n v="0"/>
  </r>
  <r>
    <x v="65"/>
    <x v="2"/>
    <n v="50"/>
    <n v="10583140"/>
    <n v="10583140"/>
  </r>
  <r>
    <x v="65"/>
    <x v="2"/>
    <n v="70"/>
    <n v="-128612"/>
    <n v="-128612"/>
  </r>
  <r>
    <x v="65"/>
    <x v="2"/>
    <n v="110"/>
    <n v="17711480"/>
    <n v="-17711480"/>
  </r>
  <r>
    <x v="65"/>
    <x v="2"/>
    <n v="130"/>
    <n v="0"/>
    <n v="0"/>
  </r>
  <r>
    <x v="65"/>
    <x v="2"/>
    <n v="140"/>
    <n v="0"/>
    <n v="0"/>
  </r>
  <r>
    <x v="65"/>
    <x v="2"/>
    <n v="200"/>
    <n v="87107"/>
    <n v="-87107"/>
  </r>
  <r>
    <x v="65"/>
    <x v="2"/>
    <n v="210"/>
    <n v="81513"/>
    <n v="-81513"/>
  </r>
  <r>
    <x v="65"/>
    <x v="2"/>
    <n v="230"/>
    <n v="48403"/>
    <n v="-48403"/>
  </r>
  <r>
    <x v="65"/>
    <x v="2"/>
    <n v="298"/>
    <n v="0"/>
    <n v="0"/>
  </r>
  <r>
    <x v="65"/>
    <x v="3"/>
    <n v="1"/>
    <n v="29866533"/>
    <n v="29866533"/>
  </r>
  <r>
    <x v="65"/>
    <x v="3"/>
    <n v="10"/>
    <n v="43722360"/>
    <n v="43722360"/>
  </r>
  <r>
    <x v="65"/>
    <x v="3"/>
    <n v="20"/>
    <n v="0"/>
    <n v="0"/>
  </r>
  <r>
    <x v="65"/>
    <x v="3"/>
    <n v="50"/>
    <n v="45720"/>
    <n v="45720"/>
  </r>
  <r>
    <x v="65"/>
    <x v="3"/>
    <n v="70"/>
    <n v="342744"/>
    <n v="342744"/>
  </r>
  <r>
    <x v="65"/>
    <x v="3"/>
    <n v="110"/>
    <n v="20841220"/>
    <n v="-20841220"/>
  </r>
  <r>
    <x v="65"/>
    <x v="3"/>
    <n v="120"/>
    <n v="0"/>
    <n v="0"/>
  </r>
  <r>
    <x v="65"/>
    <x v="3"/>
    <n v="130"/>
    <n v="0"/>
    <n v="0"/>
  </r>
  <r>
    <x v="65"/>
    <x v="3"/>
    <n v="140"/>
    <n v="40628296"/>
    <n v="-40628296"/>
  </r>
  <r>
    <x v="65"/>
    <x v="3"/>
    <n v="141"/>
    <n v="10786000"/>
    <n v="-10786000"/>
  </r>
  <r>
    <x v="65"/>
    <x v="3"/>
    <n v="150"/>
    <n v="0"/>
    <n v="0"/>
  </r>
  <r>
    <x v="65"/>
    <x v="3"/>
    <n v="200"/>
    <n v="437224"/>
    <n v="-437224"/>
  </r>
  <r>
    <x v="65"/>
    <x v="3"/>
    <n v="210"/>
    <n v="0"/>
    <n v="0"/>
  </r>
  <r>
    <x v="65"/>
    <x v="3"/>
    <n v="220"/>
    <n v="0"/>
    <n v="0"/>
  </r>
  <r>
    <x v="65"/>
    <x v="3"/>
    <n v="230"/>
    <n v="116119"/>
    <n v="-116119"/>
  </r>
  <r>
    <x v="65"/>
    <x v="3"/>
    <n v="298"/>
    <n v="0"/>
    <n v="0"/>
  </r>
  <r>
    <x v="66"/>
    <x v="0"/>
    <n v="1"/>
    <n v="0"/>
    <n v="0"/>
  </r>
  <r>
    <x v="66"/>
    <x v="0"/>
    <n v="50"/>
    <n v="0"/>
    <n v="0"/>
  </r>
  <r>
    <x v="66"/>
    <x v="0"/>
    <n v="110"/>
    <n v="0"/>
    <n v="0"/>
  </r>
  <r>
    <x v="66"/>
    <x v="0"/>
    <n v="140"/>
    <n v="0"/>
    <n v="0"/>
  </r>
  <r>
    <x v="66"/>
    <x v="1"/>
    <n v="1"/>
    <n v="0"/>
    <n v="0"/>
  </r>
  <r>
    <x v="66"/>
    <x v="1"/>
    <n v="10"/>
    <n v="0"/>
    <n v="0"/>
  </r>
  <r>
    <x v="66"/>
    <x v="1"/>
    <n v="140"/>
    <n v="0"/>
    <n v="0"/>
  </r>
  <r>
    <x v="66"/>
    <x v="1"/>
    <n v="200"/>
    <n v="0"/>
    <n v="0"/>
  </r>
  <r>
    <x v="66"/>
    <x v="1"/>
    <n v="230"/>
    <n v="0"/>
    <n v="0"/>
  </r>
  <r>
    <x v="66"/>
    <x v="2"/>
    <n v="10"/>
    <n v="0"/>
    <n v="0"/>
  </r>
  <r>
    <x v="66"/>
    <x v="2"/>
    <n v="110"/>
    <n v="0"/>
    <n v="0"/>
  </r>
  <r>
    <x v="66"/>
    <x v="3"/>
    <n v="1"/>
    <n v="26815724"/>
    <n v="26815724"/>
  </r>
  <r>
    <x v="66"/>
    <x v="3"/>
    <n v="10"/>
    <n v="1243100"/>
    <n v="1243100"/>
  </r>
  <r>
    <x v="66"/>
    <x v="3"/>
    <n v="15"/>
    <n v="0"/>
    <n v="0"/>
  </r>
  <r>
    <x v="66"/>
    <x v="3"/>
    <n v="20"/>
    <n v="0"/>
    <n v="0"/>
  </r>
  <r>
    <x v="66"/>
    <x v="3"/>
    <n v="50"/>
    <n v="26487496"/>
    <n v="26487496"/>
  </r>
  <r>
    <x v="66"/>
    <x v="3"/>
    <n v="70"/>
    <n v="-633944"/>
    <n v="-633944"/>
  </r>
  <r>
    <x v="66"/>
    <x v="3"/>
    <n v="110"/>
    <n v="26084680"/>
    <n v="-26084680"/>
  </r>
  <r>
    <x v="66"/>
    <x v="3"/>
    <n v="140"/>
    <n v="97100"/>
    <n v="-97100"/>
  </r>
  <r>
    <x v="66"/>
    <x v="3"/>
    <n v="200"/>
    <n v="12431"/>
    <n v="-12431"/>
  </r>
  <r>
    <x v="66"/>
    <x v="3"/>
    <n v="220"/>
    <n v="0"/>
    <n v="0"/>
  </r>
  <r>
    <x v="66"/>
    <x v="3"/>
    <n v="230"/>
    <n v="0"/>
    <n v="0"/>
  </r>
  <r>
    <x v="67"/>
    <x v="0"/>
    <n v="1"/>
    <n v="0"/>
    <n v="0"/>
  </r>
  <r>
    <x v="67"/>
    <x v="0"/>
    <n v="10"/>
    <n v="19866240"/>
    <n v="19866240"/>
  </r>
  <r>
    <x v="67"/>
    <x v="0"/>
    <n v="70"/>
    <n v="0"/>
    <n v="0"/>
  </r>
  <r>
    <x v="67"/>
    <x v="0"/>
    <n v="110"/>
    <n v="2215040"/>
    <n v="-2215040"/>
  </r>
  <r>
    <x v="67"/>
    <x v="0"/>
    <n v="140"/>
    <n v="16962700"/>
    <n v="-16962700"/>
  </r>
  <r>
    <x v="67"/>
    <x v="0"/>
    <n v="141"/>
    <n v="553120"/>
    <n v="-553120"/>
  </r>
  <r>
    <x v="67"/>
    <x v="0"/>
    <n v="200"/>
    <n v="99161"/>
    <n v="-99161"/>
  </r>
  <r>
    <x v="67"/>
    <x v="0"/>
    <n v="210"/>
    <n v="107266"/>
    <n v="-107266"/>
  </r>
  <r>
    <x v="67"/>
    <x v="1"/>
    <n v="1"/>
    <n v="4165699"/>
    <n v="4165699"/>
  </r>
  <r>
    <x v="67"/>
    <x v="1"/>
    <n v="10"/>
    <n v="845320"/>
    <n v="845320"/>
  </r>
  <r>
    <x v="67"/>
    <x v="1"/>
    <n v="70"/>
    <n v="138487"/>
    <n v="138487"/>
  </r>
  <r>
    <x v="67"/>
    <x v="1"/>
    <n v="110"/>
    <n v="4335800"/>
    <n v="-4335800"/>
  </r>
  <r>
    <x v="67"/>
    <x v="1"/>
    <n v="130"/>
    <n v="0"/>
    <n v="0"/>
  </r>
  <r>
    <x v="67"/>
    <x v="1"/>
    <n v="140"/>
    <n v="73220"/>
    <n v="-73220"/>
  </r>
  <r>
    <x v="67"/>
    <x v="1"/>
    <n v="141"/>
    <n v="726000"/>
    <n v="-726000"/>
  </r>
  <r>
    <x v="67"/>
    <x v="1"/>
    <n v="200"/>
    <n v="4227"/>
    <n v="-4227"/>
  </r>
  <r>
    <x v="67"/>
    <x v="1"/>
    <n v="230"/>
    <n v="10259"/>
    <n v="-10259"/>
  </r>
  <r>
    <x v="67"/>
    <x v="2"/>
    <n v="1"/>
    <n v="3981828"/>
    <n v="3981828"/>
  </r>
  <r>
    <x v="67"/>
    <x v="2"/>
    <n v="10"/>
    <n v="25309840"/>
    <n v="25309840"/>
  </r>
  <r>
    <x v="67"/>
    <x v="2"/>
    <n v="50"/>
    <n v="656540"/>
    <n v="656540"/>
  </r>
  <r>
    <x v="67"/>
    <x v="2"/>
    <n v="70"/>
    <n v="44652"/>
    <n v="44652"/>
  </r>
  <r>
    <x v="67"/>
    <x v="2"/>
    <n v="100"/>
    <n v="0"/>
    <n v="0"/>
  </r>
  <r>
    <x v="67"/>
    <x v="2"/>
    <n v="110"/>
    <n v="4214120"/>
    <n v="-4214120"/>
  </r>
  <r>
    <x v="67"/>
    <x v="2"/>
    <n v="130"/>
    <n v="0"/>
    <n v="0"/>
  </r>
  <r>
    <x v="67"/>
    <x v="2"/>
    <n v="140"/>
    <n v="366740"/>
    <n v="-366740"/>
  </r>
  <r>
    <x v="67"/>
    <x v="2"/>
    <n v="200"/>
    <n v="125263"/>
    <n v="-125263"/>
  </r>
  <r>
    <x v="67"/>
    <x v="2"/>
    <n v="210"/>
    <n v="44180"/>
    <n v="-44180"/>
  </r>
  <r>
    <x v="67"/>
    <x v="2"/>
    <n v="230"/>
    <n v="63618"/>
    <n v="-63618"/>
  </r>
  <r>
    <x v="67"/>
    <x v="3"/>
    <n v="1"/>
    <n v="31989833"/>
    <n v="31989833"/>
  </r>
  <r>
    <x v="67"/>
    <x v="3"/>
    <n v="10"/>
    <n v="43277060"/>
    <n v="43277060"/>
  </r>
  <r>
    <x v="67"/>
    <x v="3"/>
    <n v="70"/>
    <n v="436139"/>
    <n v="436139"/>
  </r>
  <r>
    <x v="67"/>
    <x v="3"/>
    <n v="110"/>
    <n v="58089380"/>
    <n v="-58089380"/>
  </r>
  <r>
    <x v="67"/>
    <x v="3"/>
    <n v="120"/>
    <n v="68120"/>
    <n v="-68120"/>
  </r>
  <r>
    <x v="67"/>
    <x v="3"/>
    <n v="130"/>
    <n v="107620"/>
    <n v="-107620"/>
  </r>
  <r>
    <x v="67"/>
    <x v="3"/>
    <n v="140"/>
    <n v="784540"/>
    <n v="-784540"/>
  </r>
  <r>
    <x v="67"/>
    <x v="3"/>
    <n v="141"/>
    <n v="12843640"/>
    <n v="-12843640"/>
  </r>
  <r>
    <x v="67"/>
    <x v="3"/>
    <n v="200"/>
    <n v="432604"/>
    <n v="-432604"/>
  </r>
  <r>
    <x v="67"/>
    <x v="3"/>
    <n v="210"/>
    <n v="3889"/>
    <n v="-3889"/>
  </r>
  <r>
    <x v="67"/>
    <x v="3"/>
    <n v="220"/>
    <n v="0"/>
    <n v="0"/>
  </r>
  <r>
    <x v="67"/>
    <x v="3"/>
    <n v="230"/>
    <n v="127413"/>
    <n v="-127413"/>
  </r>
  <r>
    <x v="68"/>
    <x v="0"/>
    <n v="1"/>
    <n v="15546900"/>
    <n v="15546900"/>
  </r>
  <r>
    <x v="68"/>
    <x v="0"/>
    <n v="10"/>
    <n v="63523940"/>
    <n v="63523940"/>
  </r>
  <r>
    <x v="68"/>
    <x v="0"/>
    <n v="20"/>
    <n v="0"/>
    <n v="0"/>
  </r>
  <r>
    <x v="68"/>
    <x v="0"/>
    <n v="50"/>
    <n v="139440"/>
    <n v="139440"/>
  </r>
  <r>
    <x v="68"/>
    <x v="0"/>
    <n v="70"/>
    <n v="0"/>
    <n v="0"/>
  </r>
  <r>
    <x v="68"/>
    <x v="0"/>
    <n v="100"/>
    <n v="0"/>
    <n v="0"/>
  </r>
  <r>
    <x v="68"/>
    <x v="0"/>
    <n v="110"/>
    <n v="48052800"/>
    <n v="-48052800"/>
  </r>
  <r>
    <x v="68"/>
    <x v="0"/>
    <n v="120"/>
    <n v="0"/>
    <n v="0"/>
  </r>
  <r>
    <x v="68"/>
    <x v="0"/>
    <n v="130"/>
    <n v="0"/>
    <n v="0"/>
  </r>
  <r>
    <x v="68"/>
    <x v="0"/>
    <n v="140"/>
    <n v="767100"/>
    <n v="-767100"/>
  </r>
  <r>
    <x v="68"/>
    <x v="0"/>
    <n v="141"/>
    <n v="12676300"/>
    <n v="-12676300"/>
  </r>
  <r>
    <x v="68"/>
    <x v="0"/>
    <n v="160"/>
    <n v="0"/>
    <n v="0"/>
  </r>
  <r>
    <x v="68"/>
    <x v="0"/>
    <n v="200"/>
    <n v="306718"/>
    <n v="-306718"/>
  </r>
  <r>
    <x v="68"/>
    <x v="0"/>
    <n v="210"/>
    <n v="257549"/>
    <n v="-257549"/>
  </r>
  <r>
    <x v="68"/>
    <x v="0"/>
    <n v="220"/>
    <n v="0"/>
    <n v="0"/>
  </r>
  <r>
    <x v="68"/>
    <x v="0"/>
    <n v="230"/>
    <n v="0"/>
    <n v="0"/>
  </r>
  <r>
    <x v="68"/>
    <x v="0"/>
    <n v="260"/>
    <n v="0"/>
    <n v="0"/>
  </r>
  <r>
    <x v="68"/>
    <x v="0"/>
    <n v="298"/>
    <n v="0"/>
    <n v="0"/>
  </r>
  <r>
    <x v="68"/>
    <x v="1"/>
    <n v="1"/>
    <n v="15629903"/>
    <n v="15629903"/>
  </r>
  <r>
    <x v="68"/>
    <x v="1"/>
    <n v="10"/>
    <n v="31682060"/>
    <n v="31682060"/>
  </r>
  <r>
    <x v="68"/>
    <x v="1"/>
    <n v="20"/>
    <n v="0"/>
    <n v="0"/>
  </r>
  <r>
    <x v="68"/>
    <x v="1"/>
    <n v="50"/>
    <n v="37200"/>
    <n v="37200"/>
  </r>
  <r>
    <x v="68"/>
    <x v="1"/>
    <n v="70"/>
    <n v="0"/>
    <n v="0"/>
  </r>
  <r>
    <x v="68"/>
    <x v="1"/>
    <n v="110"/>
    <n v="5173160"/>
    <n v="-5173160"/>
  </r>
  <r>
    <x v="68"/>
    <x v="1"/>
    <n v="120"/>
    <n v="0"/>
    <n v="0"/>
  </r>
  <r>
    <x v="68"/>
    <x v="1"/>
    <n v="130"/>
    <n v="0"/>
    <n v="0"/>
  </r>
  <r>
    <x v="68"/>
    <x v="1"/>
    <n v="140"/>
    <n v="488780"/>
    <n v="-488780"/>
  </r>
  <r>
    <x v="68"/>
    <x v="1"/>
    <n v="141"/>
    <n v="13119700"/>
    <n v="-13119700"/>
  </r>
  <r>
    <x v="68"/>
    <x v="1"/>
    <n v="150"/>
    <n v="0"/>
    <n v="0"/>
  </r>
  <r>
    <x v="68"/>
    <x v="1"/>
    <n v="160"/>
    <n v="0"/>
    <n v="0"/>
  </r>
  <r>
    <x v="68"/>
    <x v="1"/>
    <n v="200"/>
    <n v="157238"/>
    <n v="-157238"/>
  </r>
  <r>
    <x v="68"/>
    <x v="1"/>
    <n v="210"/>
    <n v="0"/>
    <n v="0"/>
  </r>
  <r>
    <x v="68"/>
    <x v="1"/>
    <n v="220"/>
    <n v="0"/>
    <n v="0"/>
  </r>
  <r>
    <x v="68"/>
    <x v="1"/>
    <n v="230"/>
    <n v="547950"/>
    <n v="-547950"/>
  </r>
  <r>
    <x v="68"/>
    <x v="1"/>
    <n v="260"/>
    <n v="0"/>
    <n v="0"/>
  </r>
  <r>
    <x v="68"/>
    <x v="1"/>
    <n v="270"/>
    <n v="0"/>
    <n v="0"/>
  </r>
  <r>
    <x v="68"/>
    <x v="1"/>
    <n v="298"/>
    <n v="0"/>
    <n v="0"/>
  </r>
  <r>
    <x v="68"/>
    <x v="2"/>
    <n v="1"/>
    <n v="5499925"/>
    <n v="5499925"/>
  </r>
  <r>
    <x v="68"/>
    <x v="2"/>
    <n v="10"/>
    <n v="19192060"/>
    <n v="19192060"/>
  </r>
  <r>
    <x v="68"/>
    <x v="2"/>
    <n v="20"/>
    <n v="225895"/>
    <n v="225895"/>
  </r>
  <r>
    <x v="68"/>
    <x v="2"/>
    <n v="50"/>
    <n v="0"/>
    <n v="0"/>
  </r>
  <r>
    <x v="68"/>
    <x v="2"/>
    <n v="70"/>
    <n v="0"/>
    <n v="0"/>
  </r>
  <r>
    <x v="68"/>
    <x v="2"/>
    <n v="110"/>
    <n v="5161260"/>
    <n v="-5161260"/>
  </r>
  <r>
    <x v="68"/>
    <x v="2"/>
    <n v="120"/>
    <n v="0"/>
    <n v="0"/>
  </r>
  <r>
    <x v="68"/>
    <x v="2"/>
    <n v="130"/>
    <n v="0"/>
    <n v="0"/>
  </r>
  <r>
    <x v="68"/>
    <x v="2"/>
    <n v="140"/>
    <n v="5307840"/>
    <n v="-5307840"/>
  </r>
  <r>
    <x v="68"/>
    <x v="2"/>
    <n v="141"/>
    <n v="1454620"/>
    <n v="-1454620"/>
  </r>
  <r>
    <x v="68"/>
    <x v="2"/>
    <n v="200"/>
    <n v="95960"/>
    <n v="-95960"/>
  </r>
  <r>
    <x v="68"/>
    <x v="2"/>
    <n v="210"/>
    <n v="20676"/>
    <n v="-20676"/>
  </r>
  <r>
    <x v="68"/>
    <x v="2"/>
    <n v="220"/>
    <n v="0"/>
    <n v="0"/>
  </r>
  <r>
    <x v="68"/>
    <x v="2"/>
    <n v="230"/>
    <n v="54523"/>
    <n v="-54523"/>
  </r>
  <r>
    <x v="68"/>
    <x v="2"/>
    <n v="270"/>
    <n v="0"/>
    <n v="0"/>
  </r>
  <r>
    <x v="68"/>
    <x v="2"/>
    <n v="298"/>
    <n v="0"/>
    <n v="0"/>
  </r>
  <r>
    <x v="68"/>
    <x v="3"/>
    <n v="1"/>
    <n v="13241055"/>
    <n v="13241055"/>
  </r>
  <r>
    <x v="68"/>
    <x v="3"/>
    <n v="10"/>
    <n v="17013020"/>
    <n v="17013020"/>
  </r>
  <r>
    <x v="68"/>
    <x v="3"/>
    <n v="20"/>
    <n v="11183"/>
    <n v="11183"/>
  </r>
  <r>
    <x v="68"/>
    <x v="3"/>
    <n v="50"/>
    <n v="0"/>
    <n v="0"/>
  </r>
  <r>
    <x v="68"/>
    <x v="3"/>
    <n v="70"/>
    <n v="58705"/>
    <n v="58705"/>
  </r>
  <r>
    <x v="68"/>
    <x v="3"/>
    <n v="100"/>
    <n v="0"/>
    <n v="0"/>
  </r>
  <r>
    <x v="68"/>
    <x v="3"/>
    <n v="110"/>
    <n v="19315260"/>
    <n v="-19315260"/>
  </r>
  <r>
    <x v="68"/>
    <x v="3"/>
    <n v="120"/>
    <n v="0"/>
    <n v="0"/>
  </r>
  <r>
    <x v="68"/>
    <x v="3"/>
    <n v="130"/>
    <n v="0"/>
    <n v="0"/>
  </r>
  <r>
    <x v="68"/>
    <x v="3"/>
    <n v="140"/>
    <n v="9606880"/>
    <n v="-9606880"/>
  </r>
  <r>
    <x v="68"/>
    <x v="3"/>
    <n v="141"/>
    <n v="1156580"/>
    <n v="-1156580"/>
  </r>
  <r>
    <x v="68"/>
    <x v="3"/>
    <n v="150"/>
    <n v="0"/>
    <n v="0"/>
  </r>
  <r>
    <x v="68"/>
    <x v="3"/>
    <n v="160"/>
    <n v="0"/>
    <n v="0"/>
  </r>
  <r>
    <x v="68"/>
    <x v="3"/>
    <n v="200"/>
    <n v="170130"/>
    <n v="-170130"/>
  </r>
  <r>
    <x v="68"/>
    <x v="3"/>
    <n v="210"/>
    <n v="0"/>
    <n v="0"/>
  </r>
  <r>
    <x v="68"/>
    <x v="3"/>
    <n v="220"/>
    <n v="0"/>
    <n v="0"/>
  </r>
  <r>
    <x v="68"/>
    <x v="3"/>
    <n v="230"/>
    <n v="75113"/>
    <n v="-75113"/>
  </r>
  <r>
    <x v="68"/>
    <x v="3"/>
    <n v="260"/>
    <n v="0"/>
    <n v="0"/>
  </r>
  <r>
    <x v="68"/>
    <x v="3"/>
    <n v="298"/>
    <n v="0"/>
    <n v="0"/>
  </r>
  <r>
    <x v="68"/>
    <x v="4"/>
    <n v="1"/>
    <n v="0"/>
    <n v="0"/>
  </r>
  <r>
    <x v="68"/>
    <x v="4"/>
    <n v="10"/>
    <n v="0"/>
    <n v="0"/>
  </r>
  <r>
    <x v="68"/>
    <x v="4"/>
    <n v="20"/>
    <n v="0"/>
    <n v="0"/>
  </r>
  <r>
    <x v="68"/>
    <x v="4"/>
    <n v="50"/>
    <n v="0"/>
    <n v="0"/>
  </r>
  <r>
    <x v="68"/>
    <x v="4"/>
    <n v="70"/>
    <n v="0"/>
    <n v="0"/>
  </r>
  <r>
    <x v="68"/>
    <x v="4"/>
    <n v="110"/>
    <n v="0"/>
    <n v="0"/>
  </r>
  <r>
    <x v="68"/>
    <x v="4"/>
    <n v="120"/>
    <n v="0"/>
    <n v="0"/>
  </r>
  <r>
    <x v="68"/>
    <x v="4"/>
    <n v="140"/>
    <n v="0"/>
    <n v="0"/>
  </r>
  <r>
    <x v="68"/>
    <x v="4"/>
    <n v="150"/>
    <n v="0"/>
    <n v="0"/>
  </r>
  <r>
    <x v="68"/>
    <x v="4"/>
    <n v="200"/>
    <n v="0"/>
    <n v="0"/>
  </r>
  <r>
    <x v="68"/>
    <x v="4"/>
    <n v="210"/>
    <n v="0"/>
    <n v="0"/>
  </r>
  <r>
    <x v="68"/>
    <x v="4"/>
    <n v="220"/>
    <n v="0"/>
    <n v="0"/>
  </r>
  <r>
    <x v="68"/>
    <x v="4"/>
    <n v="230"/>
    <n v="0"/>
    <n v="0"/>
  </r>
  <r>
    <x v="69"/>
    <x v="0"/>
    <n v="1"/>
    <n v="5536895"/>
    <n v="5536895"/>
  </r>
  <r>
    <x v="69"/>
    <x v="0"/>
    <n v="10"/>
    <n v="905400"/>
    <n v="905400"/>
  </r>
  <r>
    <x v="69"/>
    <x v="0"/>
    <n v="20"/>
    <n v="0"/>
    <n v="0"/>
  </r>
  <r>
    <x v="69"/>
    <x v="0"/>
    <n v="50"/>
    <n v="3195180"/>
    <n v="3195180"/>
  </r>
  <r>
    <x v="69"/>
    <x v="0"/>
    <n v="70"/>
    <n v="0"/>
    <n v="0"/>
  </r>
  <r>
    <x v="69"/>
    <x v="0"/>
    <n v="110"/>
    <n v="0"/>
    <n v="0"/>
  </r>
  <r>
    <x v="69"/>
    <x v="0"/>
    <n v="120"/>
    <n v="0"/>
    <n v="0"/>
  </r>
  <r>
    <x v="69"/>
    <x v="0"/>
    <n v="130"/>
    <n v="0"/>
    <n v="0"/>
  </r>
  <r>
    <x v="69"/>
    <x v="0"/>
    <n v="140"/>
    <n v="0"/>
    <n v="0"/>
  </r>
  <r>
    <x v="69"/>
    <x v="0"/>
    <n v="150"/>
    <n v="1800000"/>
    <n v="-1800000"/>
  </r>
  <r>
    <x v="69"/>
    <x v="0"/>
    <n v="160"/>
    <n v="0"/>
    <n v="0"/>
  </r>
  <r>
    <x v="69"/>
    <x v="0"/>
    <n v="200"/>
    <n v="4527"/>
    <n v="-4527"/>
  </r>
  <r>
    <x v="69"/>
    <x v="0"/>
    <n v="210"/>
    <n v="1256"/>
    <n v="-1256"/>
  </r>
  <r>
    <x v="69"/>
    <x v="0"/>
    <n v="220"/>
    <n v="0"/>
    <n v="0"/>
  </r>
  <r>
    <x v="69"/>
    <x v="0"/>
    <n v="230"/>
    <n v="0"/>
    <n v="0"/>
  </r>
  <r>
    <x v="69"/>
    <x v="0"/>
    <n v="260"/>
    <n v="0"/>
    <n v="0"/>
  </r>
  <r>
    <x v="69"/>
    <x v="0"/>
    <n v="298"/>
    <n v="0"/>
    <n v="0"/>
  </r>
  <r>
    <x v="69"/>
    <x v="1"/>
    <n v="1"/>
    <n v="1148017"/>
    <n v="1148017"/>
  </r>
  <r>
    <x v="69"/>
    <x v="1"/>
    <n v="10"/>
    <n v="144800"/>
    <n v="144800"/>
  </r>
  <r>
    <x v="69"/>
    <x v="1"/>
    <n v="20"/>
    <n v="0"/>
    <n v="0"/>
  </r>
  <r>
    <x v="69"/>
    <x v="1"/>
    <n v="50"/>
    <n v="0"/>
    <n v="0"/>
  </r>
  <r>
    <x v="69"/>
    <x v="1"/>
    <n v="70"/>
    <n v="0"/>
    <n v="0"/>
  </r>
  <r>
    <x v="69"/>
    <x v="1"/>
    <n v="110"/>
    <n v="0"/>
    <n v="0"/>
  </r>
  <r>
    <x v="69"/>
    <x v="1"/>
    <n v="120"/>
    <n v="0"/>
    <n v="0"/>
  </r>
  <r>
    <x v="69"/>
    <x v="1"/>
    <n v="130"/>
    <n v="0"/>
    <n v="0"/>
  </r>
  <r>
    <x v="69"/>
    <x v="1"/>
    <n v="140"/>
    <n v="0"/>
    <n v="0"/>
  </r>
  <r>
    <x v="69"/>
    <x v="1"/>
    <n v="141"/>
    <n v="51380"/>
    <n v="-51380"/>
  </r>
  <r>
    <x v="69"/>
    <x v="1"/>
    <n v="150"/>
    <n v="620335"/>
    <n v="-620335"/>
  </r>
  <r>
    <x v="69"/>
    <x v="1"/>
    <n v="160"/>
    <n v="229191"/>
    <n v="-229191"/>
  </r>
  <r>
    <x v="69"/>
    <x v="1"/>
    <n v="200"/>
    <n v="632"/>
    <n v="-632"/>
  </r>
  <r>
    <x v="69"/>
    <x v="1"/>
    <n v="210"/>
    <n v="0"/>
    <n v="0"/>
  </r>
  <r>
    <x v="69"/>
    <x v="1"/>
    <n v="220"/>
    <n v="0"/>
    <n v="0"/>
  </r>
  <r>
    <x v="69"/>
    <x v="1"/>
    <n v="230"/>
    <n v="2747"/>
    <n v="-2747"/>
  </r>
  <r>
    <x v="69"/>
    <x v="1"/>
    <n v="260"/>
    <n v="-229191"/>
    <n v="229191"/>
  </r>
  <r>
    <x v="69"/>
    <x v="1"/>
    <n v="270"/>
    <n v="0"/>
    <n v="0"/>
  </r>
  <r>
    <x v="69"/>
    <x v="1"/>
    <n v="280"/>
    <n v="0"/>
    <n v="0"/>
  </r>
  <r>
    <x v="69"/>
    <x v="1"/>
    <n v="298"/>
    <n v="0"/>
    <n v="0"/>
  </r>
  <r>
    <x v="69"/>
    <x v="2"/>
    <n v="1"/>
    <n v="0"/>
    <n v="0"/>
  </r>
  <r>
    <x v="69"/>
    <x v="2"/>
    <n v="10"/>
    <n v="0"/>
    <n v="0"/>
  </r>
  <r>
    <x v="69"/>
    <x v="2"/>
    <n v="20"/>
    <n v="0"/>
    <n v="0"/>
  </r>
  <r>
    <x v="69"/>
    <x v="2"/>
    <n v="50"/>
    <n v="0"/>
    <n v="0"/>
  </r>
  <r>
    <x v="69"/>
    <x v="2"/>
    <n v="70"/>
    <n v="0"/>
    <n v="0"/>
  </r>
  <r>
    <x v="69"/>
    <x v="2"/>
    <n v="110"/>
    <n v="0"/>
    <n v="0"/>
  </r>
  <r>
    <x v="69"/>
    <x v="2"/>
    <n v="140"/>
    <n v="0"/>
    <n v="0"/>
  </r>
  <r>
    <x v="69"/>
    <x v="2"/>
    <n v="150"/>
    <n v="0"/>
    <n v="0"/>
  </r>
  <r>
    <x v="69"/>
    <x v="2"/>
    <n v="200"/>
    <n v="0"/>
    <n v="0"/>
  </r>
  <r>
    <x v="69"/>
    <x v="2"/>
    <n v="210"/>
    <n v="0"/>
    <n v="0"/>
  </r>
  <r>
    <x v="69"/>
    <x v="2"/>
    <n v="220"/>
    <n v="0"/>
    <n v="0"/>
  </r>
  <r>
    <x v="69"/>
    <x v="2"/>
    <n v="230"/>
    <n v="0"/>
    <n v="0"/>
  </r>
  <r>
    <x v="69"/>
    <x v="2"/>
    <n v="260"/>
    <n v="0"/>
    <n v="0"/>
  </r>
  <r>
    <x v="69"/>
    <x v="3"/>
    <n v="1"/>
    <n v="1222412"/>
    <n v="1222412"/>
  </r>
  <r>
    <x v="69"/>
    <x v="3"/>
    <n v="10"/>
    <n v="690020"/>
    <n v="690020"/>
  </r>
  <r>
    <x v="69"/>
    <x v="3"/>
    <n v="50"/>
    <n v="4934990"/>
    <n v="4934990"/>
  </r>
  <r>
    <x v="69"/>
    <x v="3"/>
    <n v="70"/>
    <n v="-346052"/>
    <n v="-346052"/>
  </r>
  <r>
    <x v="69"/>
    <x v="3"/>
    <n v="110"/>
    <n v="0"/>
    <n v="0"/>
  </r>
  <r>
    <x v="69"/>
    <x v="3"/>
    <n v="120"/>
    <n v="11200"/>
    <n v="-11200"/>
  </r>
  <r>
    <x v="69"/>
    <x v="3"/>
    <n v="130"/>
    <n v="0"/>
    <n v="0"/>
  </r>
  <r>
    <x v="69"/>
    <x v="3"/>
    <n v="140"/>
    <n v="0"/>
    <n v="0"/>
  </r>
  <r>
    <x v="69"/>
    <x v="3"/>
    <n v="150"/>
    <n v="5108980"/>
    <n v="-5108980"/>
  </r>
  <r>
    <x v="69"/>
    <x v="3"/>
    <n v="160"/>
    <n v="605087"/>
    <n v="-605087"/>
  </r>
  <r>
    <x v="69"/>
    <x v="3"/>
    <n v="200"/>
    <n v="6900"/>
    <n v="-6900"/>
  </r>
  <r>
    <x v="69"/>
    <x v="3"/>
    <n v="210"/>
    <n v="0"/>
    <n v="0"/>
  </r>
  <r>
    <x v="69"/>
    <x v="3"/>
    <n v="220"/>
    <n v="784000"/>
    <n v="-784000"/>
  </r>
  <r>
    <x v="69"/>
    <x v="3"/>
    <n v="230"/>
    <n v="383"/>
    <n v="-383"/>
  </r>
  <r>
    <x v="69"/>
    <x v="3"/>
    <n v="260"/>
    <n v="-605087"/>
    <n v="605087"/>
  </r>
  <r>
    <x v="69"/>
    <x v="3"/>
    <n v="298"/>
    <n v="0"/>
    <n v="0"/>
  </r>
  <r>
    <x v="69"/>
    <x v="4"/>
    <n v="1"/>
    <n v="0"/>
    <n v="0"/>
  </r>
  <r>
    <x v="69"/>
    <x v="4"/>
    <n v="10"/>
    <n v="836240"/>
    <n v="836240"/>
  </r>
  <r>
    <x v="69"/>
    <x v="4"/>
    <n v="20"/>
    <n v="0"/>
    <n v="0"/>
  </r>
  <r>
    <x v="69"/>
    <x v="4"/>
    <n v="50"/>
    <n v="17920"/>
    <n v="17920"/>
  </r>
  <r>
    <x v="69"/>
    <x v="4"/>
    <n v="70"/>
    <n v="0"/>
    <n v="0"/>
  </r>
  <r>
    <x v="69"/>
    <x v="4"/>
    <n v="110"/>
    <n v="823340"/>
    <n v="-823340"/>
  </r>
  <r>
    <x v="69"/>
    <x v="4"/>
    <n v="130"/>
    <n v="0"/>
    <n v="0"/>
  </r>
  <r>
    <x v="69"/>
    <x v="4"/>
    <n v="140"/>
    <n v="0"/>
    <n v="0"/>
  </r>
  <r>
    <x v="69"/>
    <x v="4"/>
    <n v="150"/>
    <n v="0"/>
    <n v="0"/>
  </r>
  <r>
    <x v="69"/>
    <x v="4"/>
    <n v="210"/>
    <n v="39754"/>
    <n v="-39754"/>
  </r>
  <r>
    <x v="69"/>
    <x v="4"/>
    <n v="220"/>
    <n v="0"/>
    <n v="0"/>
  </r>
  <r>
    <x v="69"/>
    <x v="4"/>
    <n v="230"/>
    <n v="0"/>
    <n v="0"/>
  </r>
  <r>
    <x v="69"/>
    <x v="4"/>
    <n v="298"/>
    <n v="0"/>
    <n v="0"/>
  </r>
  <r>
    <x v="70"/>
    <x v="0"/>
    <n v="1"/>
    <n v="12817344"/>
    <n v="12817344"/>
  </r>
  <r>
    <x v="70"/>
    <x v="0"/>
    <n v="10"/>
    <n v="6880140"/>
    <n v="6880140"/>
  </r>
  <r>
    <x v="70"/>
    <x v="0"/>
    <n v="50"/>
    <n v="27020"/>
    <n v="27020"/>
  </r>
  <r>
    <x v="70"/>
    <x v="0"/>
    <n v="70"/>
    <n v="0"/>
    <n v="0"/>
  </r>
  <r>
    <x v="70"/>
    <x v="0"/>
    <n v="110"/>
    <n v="2521060"/>
    <n v="-2521060"/>
  </r>
  <r>
    <x v="70"/>
    <x v="0"/>
    <n v="120"/>
    <n v="0"/>
    <n v="0"/>
  </r>
  <r>
    <x v="70"/>
    <x v="0"/>
    <n v="130"/>
    <n v="0"/>
    <n v="0"/>
  </r>
  <r>
    <x v="70"/>
    <x v="0"/>
    <n v="140"/>
    <n v="1887260"/>
    <n v="-1887260"/>
  </r>
  <r>
    <x v="70"/>
    <x v="0"/>
    <n v="141"/>
    <n v="1390320"/>
    <n v="-1390320"/>
  </r>
  <r>
    <x v="70"/>
    <x v="0"/>
    <n v="200"/>
    <n v="32905"/>
    <n v="-32905"/>
  </r>
  <r>
    <x v="70"/>
    <x v="0"/>
    <n v="210"/>
    <n v="21327"/>
    <n v="-21327"/>
  </r>
  <r>
    <x v="70"/>
    <x v="0"/>
    <n v="220"/>
    <n v="0"/>
    <n v="0"/>
  </r>
  <r>
    <x v="70"/>
    <x v="0"/>
    <n v="230"/>
    <n v="0"/>
    <n v="0"/>
  </r>
  <r>
    <x v="70"/>
    <x v="0"/>
    <n v="298"/>
    <n v="0"/>
    <n v="0"/>
  </r>
  <r>
    <x v="70"/>
    <x v="1"/>
    <n v="1"/>
    <n v="0"/>
    <n v="0"/>
  </r>
  <r>
    <x v="70"/>
    <x v="1"/>
    <n v="10"/>
    <n v="566280"/>
    <n v="566280"/>
  </r>
  <r>
    <x v="70"/>
    <x v="1"/>
    <n v="20"/>
    <n v="0"/>
    <n v="0"/>
  </r>
  <r>
    <x v="70"/>
    <x v="1"/>
    <n v="50"/>
    <n v="0"/>
    <n v="0"/>
  </r>
  <r>
    <x v="70"/>
    <x v="1"/>
    <n v="70"/>
    <n v="0"/>
    <n v="0"/>
  </r>
  <r>
    <x v="70"/>
    <x v="1"/>
    <n v="100"/>
    <n v="0"/>
    <n v="0"/>
  </r>
  <r>
    <x v="70"/>
    <x v="1"/>
    <n v="110"/>
    <n v="0"/>
    <n v="0"/>
  </r>
  <r>
    <x v="70"/>
    <x v="1"/>
    <n v="120"/>
    <n v="0"/>
    <n v="0"/>
  </r>
  <r>
    <x v="70"/>
    <x v="1"/>
    <n v="130"/>
    <n v="0"/>
    <n v="0"/>
  </r>
  <r>
    <x v="70"/>
    <x v="1"/>
    <n v="140"/>
    <n v="0"/>
    <n v="0"/>
  </r>
  <r>
    <x v="70"/>
    <x v="1"/>
    <n v="200"/>
    <n v="2831"/>
    <n v="-2831"/>
  </r>
  <r>
    <x v="70"/>
    <x v="1"/>
    <n v="210"/>
    <n v="0"/>
    <n v="0"/>
  </r>
  <r>
    <x v="70"/>
    <x v="1"/>
    <n v="220"/>
    <n v="0"/>
    <n v="0"/>
  </r>
  <r>
    <x v="70"/>
    <x v="1"/>
    <n v="230"/>
    <n v="1886"/>
    <n v="-1886"/>
  </r>
  <r>
    <x v="70"/>
    <x v="1"/>
    <n v="270"/>
    <n v="0"/>
    <n v="0"/>
  </r>
  <r>
    <x v="70"/>
    <x v="1"/>
    <n v="298"/>
    <n v="0"/>
    <n v="0"/>
  </r>
  <r>
    <x v="70"/>
    <x v="2"/>
    <n v="1"/>
    <n v="950064"/>
    <n v="950064"/>
  </r>
  <r>
    <x v="70"/>
    <x v="2"/>
    <n v="10"/>
    <n v="575440"/>
    <n v="575440"/>
  </r>
  <r>
    <x v="70"/>
    <x v="2"/>
    <n v="20"/>
    <n v="0"/>
    <n v="0"/>
  </r>
  <r>
    <x v="70"/>
    <x v="2"/>
    <n v="50"/>
    <n v="0"/>
    <n v="0"/>
  </r>
  <r>
    <x v="70"/>
    <x v="2"/>
    <n v="70"/>
    <n v="0"/>
    <n v="0"/>
  </r>
  <r>
    <x v="70"/>
    <x v="2"/>
    <n v="110"/>
    <n v="957640"/>
    <n v="-957640"/>
  </r>
  <r>
    <x v="70"/>
    <x v="2"/>
    <n v="140"/>
    <n v="0"/>
    <n v="0"/>
  </r>
  <r>
    <x v="70"/>
    <x v="2"/>
    <n v="200"/>
    <n v="2877"/>
    <n v="-2877"/>
  </r>
  <r>
    <x v="70"/>
    <x v="2"/>
    <n v="210"/>
    <n v="61"/>
    <n v="-61"/>
  </r>
  <r>
    <x v="70"/>
    <x v="2"/>
    <n v="220"/>
    <n v="0"/>
    <n v="0"/>
  </r>
  <r>
    <x v="70"/>
    <x v="2"/>
    <n v="230"/>
    <n v="0"/>
    <n v="0"/>
  </r>
  <r>
    <x v="70"/>
    <x v="3"/>
    <n v="1"/>
    <n v="0"/>
    <n v="0"/>
  </r>
  <r>
    <x v="70"/>
    <x v="3"/>
    <n v="10"/>
    <n v="0"/>
    <n v="0"/>
  </r>
  <r>
    <x v="70"/>
    <x v="3"/>
    <n v="50"/>
    <n v="0"/>
    <n v="0"/>
  </r>
  <r>
    <x v="70"/>
    <x v="3"/>
    <n v="70"/>
    <n v="0"/>
    <n v="0"/>
  </r>
  <r>
    <x v="70"/>
    <x v="3"/>
    <n v="110"/>
    <n v="0"/>
    <n v="0"/>
  </r>
  <r>
    <x v="70"/>
    <x v="3"/>
    <n v="130"/>
    <n v="0"/>
    <n v="0"/>
  </r>
  <r>
    <x v="70"/>
    <x v="3"/>
    <n v="140"/>
    <n v="0"/>
    <n v="0"/>
  </r>
  <r>
    <x v="70"/>
    <x v="3"/>
    <n v="200"/>
    <n v="0"/>
    <n v="0"/>
  </r>
  <r>
    <x v="70"/>
    <x v="3"/>
    <n v="220"/>
    <n v="0"/>
    <n v="0"/>
  </r>
  <r>
    <x v="70"/>
    <x v="3"/>
    <n v="230"/>
    <n v="0"/>
    <n v="0"/>
  </r>
  <r>
    <x v="70"/>
    <x v="3"/>
    <n v="298"/>
    <n v="0"/>
    <n v="0"/>
  </r>
  <r>
    <x v="70"/>
    <x v="4"/>
    <n v="1"/>
    <n v="0"/>
    <n v="0"/>
  </r>
  <r>
    <x v="70"/>
    <x v="4"/>
    <n v="10"/>
    <n v="94080"/>
    <n v="94080"/>
  </r>
  <r>
    <x v="70"/>
    <x v="4"/>
    <n v="20"/>
    <n v="11327"/>
    <n v="11327"/>
  </r>
  <r>
    <x v="70"/>
    <x v="4"/>
    <n v="50"/>
    <n v="0"/>
    <n v="0"/>
  </r>
  <r>
    <x v="70"/>
    <x v="4"/>
    <n v="70"/>
    <n v="0"/>
    <n v="0"/>
  </r>
  <r>
    <x v="70"/>
    <x v="4"/>
    <n v="110"/>
    <n v="75660"/>
    <n v="-75660"/>
  </r>
  <r>
    <x v="70"/>
    <x v="4"/>
    <n v="140"/>
    <n v="17920"/>
    <n v="-17920"/>
  </r>
  <r>
    <x v="70"/>
    <x v="4"/>
    <n v="210"/>
    <n v="11827"/>
    <n v="-11827"/>
  </r>
  <r>
    <x v="70"/>
    <x v="4"/>
    <n v="220"/>
    <n v="0"/>
    <n v="0"/>
  </r>
  <r>
    <x v="70"/>
    <x v="4"/>
    <n v="230"/>
    <n v="0"/>
    <n v="0"/>
  </r>
  <r>
    <x v="71"/>
    <x v="0"/>
    <n v="1"/>
    <n v="5763709"/>
    <n v="5763709"/>
  </r>
  <r>
    <x v="71"/>
    <x v="0"/>
    <n v="10"/>
    <n v="23418020"/>
    <n v="23418020"/>
  </r>
  <r>
    <x v="71"/>
    <x v="0"/>
    <n v="20"/>
    <n v="454155"/>
    <n v="454155"/>
  </r>
  <r>
    <x v="71"/>
    <x v="0"/>
    <n v="50"/>
    <n v="0"/>
    <n v="0"/>
  </r>
  <r>
    <x v="71"/>
    <x v="0"/>
    <n v="70"/>
    <n v="0"/>
    <n v="0"/>
  </r>
  <r>
    <x v="71"/>
    <x v="0"/>
    <n v="110"/>
    <n v="12600820"/>
    <n v="-12600820"/>
  </r>
  <r>
    <x v="71"/>
    <x v="0"/>
    <n v="120"/>
    <n v="0"/>
    <n v="0"/>
  </r>
  <r>
    <x v="71"/>
    <x v="0"/>
    <n v="130"/>
    <n v="0"/>
    <n v="0"/>
  </r>
  <r>
    <x v="71"/>
    <x v="0"/>
    <n v="140"/>
    <n v="16818880"/>
    <n v="-16818880"/>
  </r>
  <r>
    <x v="71"/>
    <x v="0"/>
    <n v="200"/>
    <n v="116789"/>
    <n v="-116789"/>
  </r>
  <r>
    <x v="71"/>
    <x v="0"/>
    <n v="210"/>
    <n v="99395"/>
    <n v="-99395"/>
  </r>
  <r>
    <x v="71"/>
    <x v="0"/>
    <n v="220"/>
    <n v="0"/>
    <n v="0"/>
  </r>
  <r>
    <x v="71"/>
    <x v="0"/>
    <n v="230"/>
    <n v="0"/>
    <n v="0"/>
  </r>
  <r>
    <x v="71"/>
    <x v="0"/>
    <n v="298"/>
    <n v="0"/>
    <n v="0"/>
  </r>
  <r>
    <x v="71"/>
    <x v="1"/>
    <n v="1"/>
    <n v="2334526"/>
    <n v="2334526"/>
  </r>
  <r>
    <x v="71"/>
    <x v="1"/>
    <n v="10"/>
    <n v="8376300"/>
    <n v="8376300"/>
  </r>
  <r>
    <x v="71"/>
    <x v="1"/>
    <n v="20"/>
    <n v="0"/>
    <n v="0"/>
  </r>
  <r>
    <x v="71"/>
    <x v="1"/>
    <n v="50"/>
    <n v="0"/>
    <n v="0"/>
  </r>
  <r>
    <x v="71"/>
    <x v="1"/>
    <n v="70"/>
    <n v="0"/>
    <n v="0"/>
  </r>
  <r>
    <x v="71"/>
    <x v="1"/>
    <n v="110"/>
    <n v="8288600"/>
    <n v="-8288600"/>
  </r>
  <r>
    <x v="71"/>
    <x v="1"/>
    <n v="120"/>
    <n v="0"/>
    <n v="0"/>
  </r>
  <r>
    <x v="71"/>
    <x v="1"/>
    <n v="130"/>
    <n v="3780"/>
    <n v="-3780"/>
  </r>
  <r>
    <x v="71"/>
    <x v="1"/>
    <n v="140"/>
    <n v="19520"/>
    <n v="-19520"/>
  </r>
  <r>
    <x v="71"/>
    <x v="1"/>
    <n v="141"/>
    <n v="104360"/>
    <n v="-104360"/>
  </r>
  <r>
    <x v="71"/>
    <x v="1"/>
    <n v="200"/>
    <n v="41882"/>
    <n v="-41882"/>
  </r>
  <r>
    <x v="71"/>
    <x v="1"/>
    <n v="210"/>
    <n v="0"/>
    <n v="0"/>
  </r>
  <r>
    <x v="71"/>
    <x v="1"/>
    <n v="220"/>
    <n v="0"/>
    <n v="0"/>
  </r>
  <r>
    <x v="71"/>
    <x v="1"/>
    <n v="230"/>
    <n v="185465"/>
    <n v="-185465"/>
  </r>
  <r>
    <x v="71"/>
    <x v="1"/>
    <n v="298"/>
    <n v="0"/>
    <n v="0"/>
  </r>
  <r>
    <x v="71"/>
    <x v="2"/>
    <n v="1"/>
    <n v="3473576"/>
    <n v="3473576"/>
  </r>
  <r>
    <x v="71"/>
    <x v="2"/>
    <n v="10"/>
    <n v="14310220"/>
    <n v="14310220"/>
  </r>
  <r>
    <x v="71"/>
    <x v="2"/>
    <n v="20"/>
    <n v="100784"/>
    <n v="100784"/>
  </r>
  <r>
    <x v="71"/>
    <x v="2"/>
    <n v="50"/>
    <n v="0"/>
    <n v="0"/>
  </r>
  <r>
    <x v="71"/>
    <x v="2"/>
    <n v="70"/>
    <n v="0"/>
    <n v="0"/>
  </r>
  <r>
    <x v="71"/>
    <x v="2"/>
    <n v="110"/>
    <n v="3554860"/>
    <n v="-3554860"/>
  </r>
  <r>
    <x v="71"/>
    <x v="2"/>
    <n v="120"/>
    <n v="6600"/>
    <n v="-6600"/>
  </r>
  <r>
    <x v="71"/>
    <x v="2"/>
    <n v="130"/>
    <n v="0"/>
    <n v="0"/>
  </r>
  <r>
    <x v="71"/>
    <x v="2"/>
    <n v="140"/>
    <n v="6056520"/>
    <n v="-6056520"/>
  </r>
  <r>
    <x v="71"/>
    <x v="2"/>
    <n v="200"/>
    <n v="70665"/>
    <n v="-70665"/>
  </r>
  <r>
    <x v="71"/>
    <x v="2"/>
    <n v="210"/>
    <n v="10558"/>
    <n v="-10558"/>
  </r>
  <r>
    <x v="71"/>
    <x v="2"/>
    <n v="220"/>
    <n v="0"/>
    <n v="0"/>
  </r>
  <r>
    <x v="71"/>
    <x v="2"/>
    <n v="230"/>
    <n v="25625"/>
    <n v="-25625"/>
  </r>
  <r>
    <x v="71"/>
    <x v="2"/>
    <n v="298"/>
    <n v="0"/>
    <n v="0"/>
  </r>
  <r>
    <x v="71"/>
    <x v="3"/>
    <n v="1"/>
    <n v="5370228"/>
    <n v="5370228"/>
  </r>
  <r>
    <x v="71"/>
    <x v="3"/>
    <n v="10"/>
    <n v="13385580"/>
    <n v="13385580"/>
  </r>
  <r>
    <x v="71"/>
    <x v="3"/>
    <n v="50"/>
    <n v="0"/>
    <n v="0"/>
  </r>
  <r>
    <x v="71"/>
    <x v="3"/>
    <n v="70"/>
    <n v="346052"/>
    <n v="346052"/>
  </r>
  <r>
    <x v="71"/>
    <x v="3"/>
    <n v="110"/>
    <n v="6872540"/>
    <n v="-6872540"/>
  </r>
  <r>
    <x v="71"/>
    <x v="3"/>
    <n v="120"/>
    <n v="0"/>
    <n v="0"/>
  </r>
  <r>
    <x v="71"/>
    <x v="3"/>
    <n v="130"/>
    <n v="0"/>
    <n v="0"/>
  </r>
  <r>
    <x v="71"/>
    <x v="3"/>
    <n v="140"/>
    <n v="6186360"/>
    <n v="-6186360"/>
  </r>
  <r>
    <x v="71"/>
    <x v="3"/>
    <n v="160"/>
    <n v="0"/>
    <n v="0"/>
  </r>
  <r>
    <x v="71"/>
    <x v="3"/>
    <n v="200"/>
    <n v="133856"/>
    <n v="-133856"/>
  </r>
  <r>
    <x v="71"/>
    <x v="3"/>
    <n v="220"/>
    <n v="0"/>
    <n v="0"/>
  </r>
  <r>
    <x v="71"/>
    <x v="3"/>
    <n v="230"/>
    <n v="117678"/>
    <n v="-117678"/>
  </r>
  <r>
    <x v="71"/>
    <x v="3"/>
    <n v="298"/>
    <n v="0"/>
    <n v="0"/>
  </r>
  <r>
    <x v="72"/>
    <x v="0"/>
    <n v="1"/>
    <n v="21061235"/>
    <n v="21061235"/>
  </r>
  <r>
    <x v="72"/>
    <x v="0"/>
    <n v="10"/>
    <n v="18890020"/>
    <n v="18890020"/>
  </r>
  <r>
    <x v="72"/>
    <x v="0"/>
    <n v="110"/>
    <n v="0"/>
    <n v="0"/>
  </r>
  <r>
    <x v="72"/>
    <x v="0"/>
    <n v="140"/>
    <n v="0"/>
    <n v="0"/>
  </r>
  <r>
    <x v="72"/>
    <x v="0"/>
    <n v="141"/>
    <n v="15912400"/>
    <n v="-15912400"/>
  </r>
  <r>
    <x v="72"/>
    <x v="0"/>
    <n v="200"/>
    <n v="93679"/>
    <n v="-93679"/>
  </r>
  <r>
    <x v="72"/>
    <x v="0"/>
    <n v="210"/>
    <n v="153520"/>
    <n v="-153520"/>
  </r>
  <r>
    <x v="72"/>
    <x v="0"/>
    <n v="220"/>
    <n v="0"/>
    <n v="0"/>
  </r>
  <r>
    <x v="72"/>
    <x v="0"/>
    <n v="230"/>
    <n v="0"/>
    <n v="0"/>
  </r>
  <r>
    <x v="72"/>
    <x v="0"/>
    <n v="270"/>
    <n v="0"/>
    <n v="0"/>
  </r>
  <r>
    <x v="72"/>
    <x v="1"/>
    <n v="1"/>
    <n v="4597175"/>
    <n v="4597175"/>
  </r>
  <r>
    <x v="72"/>
    <x v="1"/>
    <n v="10"/>
    <n v="4636840"/>
    <n v="4636840"/>
  </r>
  <r>
    <x v="72"/>
    <x v="1"/>
    <n v="20"/>
    <n v="0"/>
    <n v="0"/>
  </r>
  <r>
    <x v="72"/>
    <x v="1"/>
    <n v="50"/>
    <n v="0"/>
    <n v="0"/>
  </r>
  <r>
    <x v="72"/>
    <x v="1"/>
    <n v="70"/>
    <n v="-92675"/>
    <n v="-92675"/>
  </r>
  <r>
    <x v="72"/>
    <x v="1"/>
    <n v="110"/>
    <n v="6446360"/>
    <n v="-6446360"/>
  </r>
  <r>
    <x v="72"/>
    <x v="1"/>
    <n v="120"/>
    <n v="6260"/>
    <n v="-6260"/>
  </r>
  <r>
    <x v="72"/>
    <x v="1"/>
    <n v="130"/>
    <n v="0"/>
    <n v="0"/>
  </r>
  <r>
    <x v="72"/>
    <x v="1"/>
    <n v="140"/>
    <n v="17600"/>
    <n v="-17600"/>
  </r>
  <r>
    <x v="72"/>
    <x v="1"/>
    <n v="200"/>
    <n v="23184"/>
    <n v="-23184"/>
  </r>
  <r>
    <x v="72"/>
    <x v="1"/>
    <n v="230"/>
    <n v="57221"/>
    <n v="-57221"/>
  </r>
  <r>
    <x v="72"/>
    <x v="1"/>
    <n v="270"/>
    <n v="0"/>
    <n v="0"/>
  </r>
  <r>
    <x v="72"/>
    <x v="2"/>
    <n v="1"/>
    <n v="8185622"/>
    <n v="8185622"/>
  </r>
  <r>
    <x v="72"/>
    <x v="2"/>
    <n v="10"/>
    <n v="4525060"/>
    <n v="4525060"/>
  </r>
  <r>
    <x v="72"/>
    <x v="2"/>
    <n v="50"/>
    <n v="697780"/>
    <n v="697780"/>
  </r>
  <r>
    <x v="72"/>
    <x v="2"/>
    <n v="70"/>
    <n v="0"/>
    <n v="0"/>
  </r>
  <r>
    <x v="72"/>
    <x v="2"/>
    <n v="110"/>
    <n v="9307460"/>
    <n v="-9307460"/>
  </r>
  <r>
    <x v="72"/>
    <x v="2"/>
    <n v="120"/>
    <n v="12020"/>
    <n v="-12020"/>
  </r>
  <r>
    <x v="72"/>
    <x v="2"/>
    <n v="140"/>
    <n v="39160"/>
    <n v="-39160"/>
  </r>
  <r>
    <x v="72"/>
    <x v="2"/>
    <n v="141"/>
    <n v="380400"/>
    <n v="-380400"/>
  </r>
  <r>
    <x v="72"/>
    <x v="2"/>
    <n v="200"/>
    <n v="22625"/>
    <n v="-22625"/>
  </r>
  <r>
    <x v="72"/>
    <x v="2"/>
    <n v="210"/>
    <n v="36414"/>
    <n v="-36414"/>
  </r>
  <r>
    <x v="72"/>
    <x v="2"/>
    <n v="230"/>
    <n v="10946"/>
    <n v="-10946"/>
  </r>
  <r>
    <x v="72"/>
    <x v="2"/>
    <n v="270"/>
    <n v="0"/>
    <n v="0"/>
  </r>
  <r>
    <x v="72"/>
    <x v="3"/>
    <n v="1"/>
    <n v="13729113"/>
    <n v="13729113"/>
  </r>
  <r>
    <x v="72"/>
    <x v="3"/>
    <n v="10"/>
    <n v="29759840"/>
    <n v="29759840"/>
  </r>
  <r>
    <x v="72"/>
    <x v="3"/>
    <n v="50"/>
    <n v="1220920"/>
    <n v="1220920"/>
  </r>
  <r>
    <x v="72"/>
    <x v="3"/>
    <n v="110"/>
    <n v="17280820"/>
    <n v="-17280820"/>
  </r>
  <r>
    <x v="72"/>
    <x v="3"/>
    <n v="120"/>
    <n v="163160"/>
    <n v="-163160"/>
  </r>
  <r>
    <x v="72"/>
    <x v="3"/>
    <n v="130"/>
    <n v="0"/>
    <n v="0"/>
  </r>
  <r>
    <x v="72"/>
    <x v="3"/>
    <n v="140"/>
    <n v="15115340"/>
    <n v="-15115340"/>
  </r>
  <r>
    <x v="72"/>
    <x v="3"/>
    <n v="141"/>
    <n v="384460"/>
    <n v="-384460"/>
  </r>
  <r>
    <x v="72"/>
    <x v="3"/>
    <n v="200"/>
    <n v="297598"/>
    <n v="-297598"/>
  </r>
  <r>
    <x v="72"/>
    <x v="3"/>
    <n v="210"/>
    <n v="21807"/>
    <n v="-21807"/>
  </r>
  <r>
    <x v="72"/>
    <x v="3"/>
    <n v="220"/>
    <n v="0"/>
    <n v="0"/>
  </r>
  <r>
    <x v="72"/>
    <x v="3"/>
    <n v="230"/>
    <n v="50804"/>
    <n v="-50804"/>
  </r>
  <r>
    <x v="72"/>
    <x v="3"/>
    <n v="270"/>
    <n v="0"/>
    <n v="0"/>
  </r>
  <r>
    <x v="73"/>
    <x v="0"/>
    <n v="1"/>
    <n v="34170914"/>
    <n v="34170914"/>
  </r>
  <r>
    <x v="73"/>
    <x v="0"/>
    <n v="10"/>
    <n v="15552400"/>
    <n v="15552400"/>
  </r>
  <r>
    <x v="73"/>
    <x v="0"/>
    <n v="50"/>
    <n v="3019740"/>
    <n v="3019740"/>
  </r>
  <r>
    <x v="73"/>
    <x v="0"/>
    <n v="110"/>
    <n v="8906940"/>
    <n v="-8906940"/>
  </r>
  <r>
    <x v="73"/>
    <x v="0"/>
    <n v="140"/>
    <n v="0"/>
    <n v="0"/>
  </r>
  <r>
    <x v="73"/>
    <x v="0"/>
    <n v="141"/>
    <n v="9540040"/>
    <n v="-9540040"/>
  </r>
  <r>
    <x v="73"/>
    <x v="0"/>
    <n v="200"/>
    <n v="75670"/>
    <n v="-75670"/>
  </r>
  <r>
    <x v="73"/>
    <x v="0"/>
    <n v="210"/>
    <n v="194048"/>
    <n v="-194048"/>
  </r>
  <r>
    <x v="73"/>
    <x v="0"/>
    <n v="230"/>
    <n v="0"/>
    <n v="0"/>
  </r>
  <r>
    <x v="73"/>
    <x v="0"/>
    <n v="270"/>
    <n v="0"/>
    <n v="0"/>
  </r>
  <r>
    <x v="73"/>
    <x v="1"/>
    <n v="1"/>
    <n v="7892242"/>
    <n v="7892242"/>
  </r>
  <r>
    <x v="73"/>
    <x v="1"/>
    <n v="10"/>
    <n v="9643740"/>
    <n v="9643740"/>
  </r>
  <r>
    <x v="73"/>
    <x v="1"/>
    <n v="50"/>
    <n v="0"/>
    <n v="0"/>
  </r>
  <r>
    <x v="73"/>
    <x v="1"/>
    <n v="70"/>
    <n v="0"/>
    <n v="0"/>
  </r>
  <r>
    <x v="73"/>
    <x v="1"/>
    <n v="110"/>
    <n v="8080940"/>
    <n v="-8080940"/>
  </r>
  <r>
    <x v="73"/>
    <x v="1"/>
    <n v="130"/>
    <n v="0"/>
    <n v="0"/>
  </r>
  <r>
    <x v="73"/>
    <x v="1"/>
    <n v="140"/>
    <n v="0"/>
    <n v="0"/>
  </r>
  <r>
    <x v="73"/>
    <x v="1"/>
    <n v="200"/>
    <n v="47115"/>
    <n v="-47115"/>
  </r>
  <r>
    <x v="73"/>
    <x v="1"/>
    <n v="230"/>
    <n v="76399"/>
    <n v="-76399"/>
  </r>
  <r>
    <x v="73"/>
    <x v="1"/>
    <n v="270"/>
    <n v="0"/>
    <n v="0"/>
  </r>
  <r>
    <x v="73"/>
    <x v="2"/>
    <n v="1"/>
    <n v="459053"/>
    <n v="459053"/>
  </r>
  <r>
    <x v="73"/>
    <x v="2"/>
    <n v="10"/>
    <n v="3211900"/>
    <n v="3211900"/>
  </r>
  <r>
    <x v="73"/>
    <x v="2"/>
    <n v="20"/>
    <n v="0"/>
    <n v="0"/>
  </r>
  <r>
    <x v="73"/>
    <x v="2"/>
    <n v="50"/>
    <n v="0"/>
    <n v="0"/>
  </r>
  <r>
    <x v="73"/>
    <x v="2"/>
    <n v="110"/>
    <n v="0"/>
    <n v="0"/>
  </r>
  <r>
    <x v="73"/>
    <x v="2"/>
    <n v="140"/>
    <n v="456200"/>
    <n v="-456200"/>
  </r>
  <r>
    <x v="73"/>
    <x v="2"/>
    <n v="200"/>
    <n v="15389"/>
    <n v="-15389"/>
  </r>
  <r>
    <x v="73"/>
    <x v="2"/>
    <n v="210"/>
    <n v="18322"/>
    <n v="-18322"/>
  </r>
  <r>
    <x v="73"/>
    <x v="2"/>
    <n v="220"/>
    <n v="2853"/>
    <n v="-2853"/>
  </r>
  <r>
    <x v="73"/>
    <x v="2"/>
    <n v="230"/>
    <n v="1041"/>
    <n v="-1041"/>
  </r>
  <r>
    <x v="73"/>
    <x v="2"/>
    <n v="270"/>
    <n v="0"/>
    <n v="0"/>
  </r>
  <r>
    <x v="73"/>
    <x v="3"/>
    <n v="1"/>
    <n v="0"/>
    <n v="0"/>
  </r>
  <r>
    <x v="73"/>
    <x v="3"/>
    <n v="10"/>
    <n v="180580"/>
    <n v="180580"/>
  </r>
  <r>
    <x v="73"/>
    <x v="3"/>
    <n v="20"/>
    <n v="1806"/>
    <n v="1806"/>
  </r>
  <r>
    <x v="73"/>
    <x v="3"/>
    <n v="50"/>
    <n v="0"/>
    <n v="0"/>
  </r>
  <r>
    <x v="73"/>
    <x v="3"/>
    <n v="70"/>
    <n v="0"/>
    <n v="0"/>
  </r>
  <r>
    <x v="73"/>
    <x v="3"/>
    <n v="110"/>
    <n v="0"/>
    <n v="0"/>
  </r>
  <r>
    <x v="73"/>
    <x v="3"/>
    <n v="120"/>
    <n v="0"/>
    <n v="0"/>
  </r>
  <r>
    <x v="73"/>
    <x v="3"/>
    <n v="140"/>
    <n v="176980"/>
    <n v="-176980"/>
  </r>
  <r>
    <x v="73"/>
    <x v="3"/>
    <n v="200"/>
    <n v="1806"/>
    <n v="-1806"/>
  </r>
  <r>
    <x v="73"/>
    <x v="3"/>
    <n v="210"/>
    <n v="0"/>
    <n v="0"/>
  </r>
  <r>
    <x v="73"/>
    <x v="3"/>
    <n v="220"/>
    <n v="3600"/>
    <n v="-3600"/>
  </r>
  <r>
    <x v="73"/>
    <x v="3"/>
    <n v="230"/>
    <n v="0"/>
    <n v="0"/>
  </r>
  <r>
    <x v="73"/>
    <x v="4"/>
    <n v="1"/>
    <n v="0"/>
    <n v="0"/>
  </r>
  <r>
    <x v="73"/>
    <x v="4"/>
    <n v="10"/>
    <n v="198640"/>
    <n v="198640"/>
  </r>
  <r>
    <x v="73"/>
    <x v="4"/>
    <n v="20"/>
    <n v="8021"/>
    <n v="8021"/>
  </r>
  <r>
    <x v="73"/>
    <x v="4"/>
    <n v="110"/>
    <n v="195740"/>
    <n v="-195740"/>
  </r>
  <r>
    <x v="73"/>
    <x v="4"/>
    <n v="210"/>
    <n v="10921"/>
    <n v="-10921"/>
  </r>
  <r>
    <x v="74"/>
    <x v="0"/>
    <n v="1"/>
    <n v="14996589"/>
    <n v="14996589"/>
  </r>
  <r>
    <x v="74"/>
    <x v="0"/>
    <n v="10"/>
    <n v="52877420"/>
    <n v="52877420"/>
  </r>
  <r>
    <x v="74"/>
    <x v="0"/>
    <n v="50"/>
    <n v="3885160"/>
    <n v="3885160"/>
  </r>
  <r>
    <x v="74"/>
    <x v="0"/>
    <n v="70"/>
    <n v="0"/>
    <n v="0"/>
  </r>
  <r>
    <x v="74"/>
    <x v="0"/>
    <n v="110"/>
    <n v="36801980"/>
    <n v="-36801980"/>
  </r>
  <r>
    <x v="74"/>
    <x v="0"/>
    <n v="140"/>
    <n v="0"/>
    <n v="0"/>
  </r>
  <r>
    <x v="74"/>
    <x v="0"/>
    <n v="141"/>
    <n v="5806220"/>
    <n v="-5806220"/>
  </r>
  <r>
    <x v="74"/>
    <x v="0"/>
    <n v="200"/>
    <n v="263936"/>
    <n v="-263936"/>
  </r>
  <r>
    <x v="74"/>
    <x v="0"/>
    <n v="210"/>
    <n v="279563"/>
    <n v="-279563"/>
  </r>
  <r>
    <x v="74"/>
    <x v="0"/>
    <n v="220"/>
    <n v="0"/>
    <n v="0"/>
  </r>
  <r>
    <x v="74"/>
    <x v="0"/>
    <n v="230"/>
    <n v="0"/>
    <n v="0"/>
  </r>
  <r>
    <x v="74"/>
    <x v="0"/>
    <n v="270"/>
    <n v="0"/>
    <n v="0"/>
  </r>
  <r>
    <x v="74"/>
    <x v="1"/>
    <n v="1"/>
    <n v="10594429"/>
    <n v="10594429"/>
  </r>
  <r>
    <x v="74"/>
    <x v="1"/>
    <n v="10"/>
    <n v="21559500"/>
    <n v="21559500"/>
  </r>
  <r>
    <x v="74"/>
    <x v="1"/>
    <n v="70"/>
    <n v="0"/>
    <n v="0"/>
  </r>
  <r>
    <x v="74"/>
    <x v="1"/>
    <n v="110"/>
    <n v="15278500"/>
    <n v="-15278500"/>
  </r>
  <r>
    <x v="74"/>
    <x v="1"/>
    <n v="140"/>
    <n v="206160"/>
    <n v="-206160"/>
  </r>
  <r>
    <x v="74"/>
    <x v="1"/>
    <n v="141"/>
    <n v="2344820"/>
    <n v="-2344820"/>
  </r>
  <r>
    <x v="74"/>
    <x v="1"/>
    <n v="200"/>
    <n v="107797"/>
    <n v="-107797"/>
  </r>
  <r>
    <x v="74"/>
    <x v="1"/>
    <n v="230"/>
    <n v="236311"/>
    <n v="-236311"/>
  </r>
  <r>
    <x v="74"/>
    <x v="1"/>
    <n v="270"/>
    <n v="0"/>
    <n v="0"/>
  </r>
  <r>
    <x v="74"/>
    <x v="2"/>
    <n v="1"/>
    <n v="4086456"/>
    <n v="4086456"/>
  </r>
  <r>
    <x v="74"/>
    <x v="2"/>
    <n v="10"/>
    <n v="3211680"/>
    <n v="3211680"/>
  </r>
  <r>
    <x v="74"/>
    <x v="2"/>
    <n v="50"/>
    <n v="39160"/>
    <n v="39160"/>
  </r>
  <r>
    <x v="74"/>
    <x v="2"/>
    <n v="110"/>
    <n v="6168940"/>
    <n v="-6168940"/>
  </r>
  <r>
    <x v="74"/>
    <x v="2"/>
    <n v="140"/>
    <n v="0"/>
    <n v="0"/>
  </r>
  <r>
    <x v="74"/>
    <x v="2"/>
    <n v="200"/>
    <n v="16058"/>
    <n v="-16058"/>
  </r>
  <r>
    <x v="74"/>
    <x v="2"/>
    <n v="210"/>
    <n v="12258"/>
    <n v="-12258"/>
  </r>
  <r>
    <x v="74"/>
    <x v="2"/>
    <n v="230"/>
    <n v="1897"/>
    <n v="-1897"/>
  </r>
  <r>
    <x v="74"/>
    <x v="2"/>
    <n v="270"/>
    <n v="0"/>
    <n v="0"/>
  </r>
  <r>
    <x v="74"/>
    <x v="3"/>
    <n v="1"/>
    <n v="3134877"/>
    <n v="3134877"/>
  </r>
  <r>
    <x v="74"/>
    <x v="3"/>
    <n v="10"/>
    <n v="4554120"/>
    <n v="4554120"/>
  </r>
  <r>
    <x v="74"/>
    <x v="3"/>
    <n v="20"/>
    <n v="0"/>
    <n v="0"/>
  </r>
  <r>
    <x v="74"/>
    <x v="3"/>
    <n v="110"/>
    <n v="4193940"/>
    <n v="-4193940"/>
  </r>
  <r>
    <x v="74"/>
    <x v="3"/>
    <n v="120"/>
    <n v="0"/>
    <n v="0"/>
  </r>
  <r>
    <x v="74"/>
    <x v="3"/>
    <n v="140"/>
    <n v="1222960"/>
    <n v="-1222960"/>
  </r>
  <r>
    <x v="74"/>
    <x v="3"/>
    <n v="200"/>
    <n v="45541"/>
    <n v="-45541"/>
  </r>
  <r>
    <x v="74"/>
    <x v="3"/>
    <n v="220"/>
    <n v="14777"/>
    <n v="-14777"/>
  </r>
  <r>
    <x v="74"/>
    <x v="3"/>
    <n v="230"/>
    <n v="10104"/>
    <n v="-10104"/>
  </r>
  <r>
    <x v="75"/>
    <x v="0"/>
    <n v="1"/>
    <n v="10587456"/>
    <n v="10587456"/>
  </r>
  <r>
    <x v="75"/>
    <x v="0"/>
    <n v="10"/>
    <n v="36746900"/>
    <n v="36746900"/>
  </r>
  <r>
    <x v="75"/>
    <x v="0"/>
    <n v="50"/>
    <n v="0"/>
    <n v="0"/>
  </r>
  <r>
    <x v="75"/>
    <x v="0"/>
    <n v="70"/>
    <n v="0"/>
    <n v="0"/>
  </r>
  <r>
    <x v="75"/>
    <x v="0"/>
    <n v="100"/>
    <n v="4298520"/>
    <n v="-4298520"/>
  </r>
  <r>
    <x v="75"/>
    <x v="0"/>
    <n v="110"/>
    <n v="21467120"/>
    <n v="-21467120"/>
  </r>
  <r>
    <x v="75"/>
    <x v="0"/>
    <n v="120"/>
    <n v="0"/>
    <n v="0"/>
  </r>
  <r>
    <x v="75"/>
    <x v="0"/>
    <n v="130"/>
    <n v="0"/>
    <n v="0"/>
  </r>
  <r>
    <x v="75"/>
    <x v="0"/>
    <n v="140"/>
    <n v="5373320"/>
    <n v="-5373320"/>
  </r>
  <r>
    <x v="75"/>
    <x v="0"/>
    <n v="200"/>
    <n v="182995"/>
    <n v="-182995"/>
  </r>
  <r>
    <x v="75"/>
    <x v="0"/>
    <n v="210"/>
    <n v="303992"/>
    <n v="-303992"/>
  </r>
  <r>
    <x v="75"/>
    <x v="0"/>
    <n v="220"/>
    <n v="0"/>
    <n v="0"/>
  </r>
  <r>
    <x v="75"/>
    <x v="0"/>
    <n v="230"/>
    <n v="0"/>
    <n v="0"/>
  </r>
  <r>
    <x v="75"/>
    <x v="0"/>
    <n v="270"/>
    <n v="0"/>
    <n v="0"/>
  </r>
  <r>
    <x v="75"/>
    <x v="1"/>
    <n v="1"/>
    <n v="16906093"/>
    <n v="16906093"/>
  </r>
  <r>
    <x v="75"/>
    <x v="1"/>
    <n v="10"/>
    <n v="28787800"/>
    <n v="28787800"/>
  </r>
  <r>
    <x v="75"/>
    <x v="1"/>
    <n v="50"/>
    <n v="0"/>
    <n v="0"/>
  </r>
  <r>
    <x v="75"/>
    <x v="1"/>
    <n v="70"/>
    <n v="0"/>
    <n v="0"/>
  </r>
  <r>
    <x v="75"/>
    <x v="1"/>
    <n v="110"/>
    <n v="19060300"/>
    <n v="-19060300"/>
  </r>
  <r>
    <x v="75"/>
    <x v="1"/>
    <n v="120"/>
    <n v="2620"/>
    <n v="-2620"/>
  </r>
  <r>
    <x v="75"/>
    <x v="1"/>
    <n v="130"/>
    <n v="0"/>
    <n v="0"/>
  </r>
  <r>
    <x v="75"/>
    <x v="1"/>
    <n v="140"/>
    <n v="5463760"/>
    <n v="-5463760"/>
  </r>
  <r>
    <x v="75"/>
    <x v="1"/>
    <n v="150"/>
    <n v="0"/>
    <n v="0"/>
  </r>
  <r>
    <x v="75"/>
    <x v="1"/>
    <n v="200"/>
    <n v="141317"/>
    <n v="-141317"/>
  </r>
  <r>
    <x v="75"/>
    <x v="1"/>
    <n v="230"/>
    <n v="440865"/>
    <n v="-440865"/>
  </r>
  <r>
    <x v="75"/>
    <x v="1"/>
    <n v="270"/>
    <n v="0"/>
    <n v="0"/>
  </r>
  <r>
    <x v="75"/>
    <x v="2"/>
    <n v="1"/>
    <n v="124392"/>
    <n v="124392"/>
  </r>
  <r>
    <x v="75"/>
    <x v="2"/>
    <n v="10"/>
    <n v="4232980"/>
    <n v="4232980"/>
  </r>
  <r>
    <x v="75"/>
    <x v="2"/>
    <n v="20"/>
    <n v="16048"/>
    <n v="16048"/>
  </r>
  <r>
    <x v="75"/>
    <x v="2"/>
    <n v="110"/>
    <n v="0"/>
    <n v="0"/>
  </r>
  <r>
    <x v="75"/>
    <x v="2"/>
    <n v="140"/>
    <n v="140440"/>
    <n v="-140440"/>
  </r>
  <r>
    <x v="75"/>
    <x v="2"/>
    <n v="200"/>
    <n v="21165"/>
    <n v="-21165"/>
  </r>
  <r>
    <x v="75"/>
    <x v="2"/>
    <n v="210"/>
    <n v="9350"/>
    <n v="-9350"/>
  </r>
  <r>
    <x v="75"/>
    <x v="2"/>
    <n v="220"/>
    <n v="0"/>
    <n v="0"/>
  </r>
  <r>
    <x v="75"/>
    <x v="2"/>
    <n v="230"/>
    <n v="8169"/>
    <n v="-8169"/>
  </r>
  <r>
    <x v="75"/>
    <x v="2"/>
    <n v="270"/>
    <n v="0"/>
    <n v="0"/>
  </r>
  <r>
    <x v="75"/>
    <x v="3"/>
    <n v="1"/>
    <n v="3606703"/>
    <n v="3606703"/>
  </r>
  <r>
    <x v="75"/>
    <x v="3"/>
    <n v="10"/>
    <n v="13039300"/>
    <n v="13039300"/>
  </r>
  <r>
    <x v="75"/>
    <x v="3"/>
    <n v="50"/>
    <n v="18180"/>
    <n v="18180"/>
  </r>
  <r>
    <x v="75"/>
    <x v="3"/>
    <n v="110"/>
    <n v="6498180"/>
    <n v="-6498180"/>
  </r>
  <r>
    <x v="75"/>
    <x v="3"/>
    <n v="120"/>
    <n v="105700"/>
    <n v="-105700"/>
  </r>
  <r>
    <x v="75"/>
    <x v="3"/>
    <n v="130"/>
    <n v="0"/>
    <n v="0"/>
  </r>
  <r>
    <x v="75"/>
    <x v="3"/>
    <n v="140"/>
    <n v="9803540"/>
    <n v="-9803540"/>
  </r>
  <r>
    <x v="75"/>
    <x v="3"/>
    <n v="150"/>
    <n v="0"/>
    <n v="0"/>
  </r>
  <r>
    <x v="75"/>
    <x v="3"/>
    <n v="200"/>
    <n v="130393"/>
    <n v="-130393"/>
  </r>
  <r>
    <x v="75"/>
    <x v="3"/>
    <n v="210"/>
    <n v="0"/>
    <n v="0"/>
  </r>
  <r>
    <x v="75"/>
    <x v="3"/>
    <n v="220"/>
    <n v="0"/>
    <n v="0"/>
  </r>
  <r>
    <x v="75"/>
    <x v="3"/>
    <n v="230"/>
    <n v="43435"/>
    <n v="-43435"/>
  </r>
  <r>
    <x v="75"/>
    <x v="3"/>
    <n v="270"/>
    <n v="0"/>
    <n v="0"/>
  </r>
  <r>
    <x v="76"/>
    <x v="0"/>
    <n v="1"/>
    <n v="-103790"/>
    <n v="-103790"/>
  </r>
  <r>
    <x v="76"/>
    <x v="0"/>
    <n v="10"/>
    <n v="25382900"/>
    <n v="25382900"/>
  </r>
  <r>
    <x v="76"/>
    <x v="0"/>
    <n v="50"/>
    <n v="0"/>
    <n v="0"/>
  </r>
  <r>
    <x v="76"/>
    <x v="0"/>
    <n v="70"/>
    <n v="0"/>
    <n v="0"/>
  </r>
  <r>
    <x v="76"/>
    <x v="0"/>
    <n v="100"/>
    <n v="0"/>
    <n v="0"/>
  </r>
  <r>
    <x v="76"/>
    <x v="0"/>
    <n v="110"/>
    <n v="4152460"/>
    <n v="-4152460"/>
  </r>
  <r>
    <x v="76"/>
    <x v="0"/>
    <n v="130"/>
    <n v="110140"/>
    <n v="-110140"/>
  </r>
  <r>
    <x v="76"/>
    <x v="0"/>
    <n v="140"/>
    <n v="15370700"/>
    <n v="-15370700"/>
  </r>
  <r>
    <x v="76"/>
    <x v="0"/>
    <n v="141"/>
    <n v="53800"/>
    <n v="-53800"/>
  </r>
  <r>
    <x v="76"/>
    <x v="0"/>
    <n v="200"/>
    <n v="125950"/>
    <n v="-125950"/>
  </r>
  <r>
    <x v="76"/>
    <x v="0"/>
    <n v="210"/>
    <n v="157704"/>
    <n v="-157704"/>
  </r>
  <r>
    <x v="76"/>
    <x v="0"/>
    <n v="220"/>
    <n v="0"/>
    <n v="0"/>
  </r>
  <r>
    <x v="76"/>
    <x v="0"/>
    <n v="230"/>
    <n v="0"/>
    <n v="0"/>
  </r>
  <r>
    <x v="76"/>
    <x v="0"/>
    <n v="270"/>
    <n v="0"/>
    <n v="0"/>
  </r>
  <r>
    <x v="76"/>
    <x v="1"/>
    <n v="1"/>
    <n v="8177912"/>
    <n v="8177912"/>
  </r>
  <r>
    <x v="76"/>
    <x v="1"/>
    <n v="10"/>
    <n v="14282700"/>
    <n v="14282700"/>
  </r>
  <r>
    <x v="76"/>
    <x v="1"/>
    <n v="110"/>
    <n v="7111180"/>
    <n v="-7111180"/>
  </r>
  <r>
    <x v="76"/>
    <x v="1"/>
    <n v="120"/>
    <n v="0"/>
    <n v="0"/>
  </r>
  <r>
    <x v="76"/>
    <x v="1"/>
    <n v="140"/>
    <n v="1052620"/>
    <n v="-1052620"/>
  </r>
  <r>
    <x v="76"/>
    <x v="1"/>
    <n v="200"/>
    <n v="70961"/>
    <n v="-70961"/>
  </r>
  <r>
    <x v="76"/>
    <x v="1"/>
    <n v="230"/>
    <n v="118777"/>
    <n v="-118777"/>
  </r>
  <r>
    <x v="76"/>
    <x v="1"/>
    <n v="270"/>
    <n v="0"/>
    <n v="0"/>
  </r>
  <r>
    <x v="76"/>
    <x v="2"/>
    <n v="1"/>
    <n v="5570088"/>
    <n v="5570088"/>
  </r>
  <r>
    <x v="76"/>
    <x v="2"/>
    <n v="10"/>
    <n v="7974200"/>
    <n v="7974200"/>
  </r>
  <r>
    <x v="76"/>
    <x v="2"/>
    <n v="50"/>
    <n v="0"/>
    <n v="0"/>
  </r>
  <r>
    <x v="76"/>
    <x v="2"/>
    <n v="70"/>
    <n v="-66028"/>
    <n v="-66028"/>
  </r>
  <r>
    <x v="76"/>
    <x v="2"/>
    <n v="110"/>
    <n v="4943660"/>
    <n v="-4943660"/>
  </r>
  <r>
    <x v="76"/>
    <x v="2"/>
    <n v="140"/>
    <n v="4674200"/>
    <n v="-4674200"/>
  </r>
  <r>
    <x v="76"/>
    <x v="2"/>
    <n v="141"/>
    <n v="829860"/>
    <n v="-829860"/>
  </r>
  <r>
    <x v="76"/>
    <x v="2"/>
    <n v="200"/>
    <n v="39672"/>
    <n v="-39672"/>
  </r>
  <r>
    <x v="76"/>
    <x v="2"/>
    <n v="210"/>
    <n v="7556"/>
    <n v="-7556"/>
  </r>
  <r>
    <x v="76"/>
    <x v="2"/>
    <n v="230"/>
    <n v="12537"/>
    <n v="-12537"/>
  </r>
  <r>
    <x v="76"/>
    <x v="2"/>
    <n v="270"/>
    <n v="0"/>
    <n v="0"/>
  </r>
  <r>
    <x v="76"/>
    <x v="3"/>
    <n v="1"/>
    <n v="2525666"/>
    <n v="2525666"/>
  </r>
  <r>
    <x v="76"/>
    <x v="3"/>
    <n v="10"/>
    <n v="4192000"/>
    <n v="4192000"/>
  </r>
  <r>
    <x v="76"/>
    <x v="3"/>
    <n v="20"/>
    <n v="0"/>
    <n v="0"/>
  </r>
  <r>
    <x v="76"/>
    <x v="3"/>
    <n v="50"/>
    <n v="1820"/>
    <n v="1820"/>
  </r>
  <r>
    <x v="76"/>
    <x v="3"/>
    <n v="70"/>
    <n v="13593"/>
    <n v="13593"/>
  </r>
  <r>
    <x v="76"/>
    <x v="3"/>
    <n v="110"/>
    <n v="6666760"/>
    <n v="-6666760"/>
  </r>
  <r>
    <x v="76"/>
    <x v="3"/>
    <n v="140"/>
    <n v="12020"/>
    <n v="-12020"/>
  </r>
  <r>
    <x v="76"/>
    <x v="3"/>
    <n v="150"/>
    <n v="0"/>
    <n v="0"/>
  </r>
  <r>
    <x v="76"/>
    <x v="3"/>
    <n v="200"/>
    <n v="40965"/>
    <n v="-40965"/>
  </r>
  <r>
    <x v="76"/>
    <x v="3"/>
    <n v="220"/>
    <n v="8006"/>
    <n v="-8006"/>
  </r>
  <r>
    <x v="76"/>
    <x v="3"/>
    <n v="230"/>
    <n v="5328"/>
    <n v="-5328"/>
  </r>
  <r>
    <x v="77"/>
    <x v="0"/>
    <n v="1"/>
    <n v="948189"/>
    <n v="948189"/>
  </r>
  <r>
    <x v="77"/>
    <x v="0"/>
    <n v="10"/>
    <n v="32050300"/>
    <n v="32050300"/>
  </r>
  <r>
    <x v="77"/>
    <x v="0"/>
    <n v="20"/>
    <n v="133777"/>
    <n v="133777"/>
  </r>
  <r>
    <x v="77"/>
    <x v="0"/>
    <n v="50"/>
    <n v="44800"/>
    <n v="44800"/>
  </r>
  <r>
    <x v="77"/>
    <x v="0"/>
    <n v="70"/>
    <n v="0"/>
    <n v="0"/>
  </r>
  <r>
    <x v="77"/>
    <x v="0"/>
    <n v="110"/>
    <n v="12985120"/>
    <n v="-12985120"/>
  </r>
  <r>
    <x v="77"/>
    <x v="0"/>
    <n v="140"/>
    <n v="18680180"/>
    <n v="-18680180"/>
  </r>
  <r>
    <x v="77"/>
    <x v="0"/>
    <n v="141"/>
    <n v="1143680"/>
    <n v="-1143680"/>
  </r>
  <r>
    <x v="77"/>
    <x v="0"/>
    <n v="150"/>
    <n v="0"/>
    <n v="0"/>
  </r>
  <r>
    <x v="77"/>
    <x v="0"/>
    <n v="200"/>
    <n v="157091"/>
    <n v="-157091"/>
  </r>
  <r>
    <x v="77"/>
    <x v="0"/>
    <n v="210"/>
    <n v="210995"/>
    <n v="-210995"/>
  </r>
  <r>
    <x v="77"/>
    <x v="0"/>
    <n v="230"/>
    <n v="0"/>
    <n v="0"/>
  </r>
  <r>
    <x v="77"/>
    <x v="0"/>
    <n v="270"/>
    <n v="0"/>
    <n v="0"/>
  </r>
  <r>
    <x v="77"/>
    <x v="1"/>
    <n v="1"/>
    <n v="9536330"/>
    <n v="9536330"/>
  </r>
  <r>
    <x v="77"/>
    <x v="1"/>
    <n v="10"/>
    <n v="16453760"/>
    <n v="16453760"/>
  </r>
  <r>
    <x v="77"/>
    <x v="1"/>
    <n v="50"/>
    <n v="0"/>
    <n v="0"/>
  </r>
  <r>
    <x v="77"/>
    <x v="1"/>
    <n v="110"/>
    <n v="9494371"/>
    <n v="-9494371"/>
  </r>
  <r>
    <x v="77"/>
    <x v="1"/>
    <n v="120"/>
    <n v="0"/>
    <n v="0"/>
  </r>
  <r>
    <x v="77"/>
    <x v="1"/>
    <n v="130"/>
    <n v="40180"/>
    <n v="-40180"/>
  </r>
  <r>
    <x v="77"/>
    <x v="1"/>
    <n v="140"/>
    <n v="0"/>
    <n v="0"/>
  </r>
  <r>
    <x v="77"/>
    <x v="1"/>
    <n v="141"/>
    <n v="1226460"/>
    <n v="-1226460"/>
  </r>
  <r>
    <x v="77"/>
    <x v="1"/>
    <n v="150"/>
    <n v="281177"/>
    <n v="-281177"/>
  </r>
  <r>
    <x v="77"/>
    <x v="1"/>
    <n v="160"/>
    <n v="0"/>
    <n v="0"/>
  </r>
  <r>
    <x v="77"/>
    <x v="1"/>
    <n v="200"/>
    <n v="82170"/>
    <n v="-82170"/>
  </r>
  <r>
    <x v="77"/>
    <x v="1"/>
    <n v="230"/>
    <n v="208130"/>
    <n v="-208130"/>
  </r>
  <r>
    <x v="77"/>
    <x v="1"/>
    <n v="270"/>
    <n v="0"/>
    <n v="0"/>
  </r>
  <r>
    <x v="77"/>
    <x v="2"/>
    <n v="10"/>
    <n v="7346780"/>
    <n v="7346780"/>
  </r>
  <r>
    <x v="77"/>
    <x v="2"/>
    <n v="110"/>
    <n v="356560"/>
    <n v="-356560"/>
  </r>
  <r>
    <x v="77"/>
    <x v="2"/>
    <n v="200"/>
    <n v="36734"/>
    <n v="-36734"/>
  </r>
  <r>
    <x v="77"/>
    <x v="2"/>
    <n v="210"/>
    <n v="21771"/>
    <n v="-21771"/>
  </r>
  <r>
    <x v="77"/>
    <x v="2"/>
    <n v="230"/>
    <n v="35821"/>
    <n v="-35821"/>
  </r>
  <r>
    <x v="77"/>
    <x v="3"/>
    <n v="1"/>
    <n v="2704899"/>
    <n v="2704899"/>
  </r>
  <r>
    <x v="77"/>
    <x v="3"/>
    <n v="10"/>
    <n v="5233280"/>
    <n v="5233280"/>
  </r>
  <r>
    <x v="77"/>
    <x v="3"/>
    <n v="50"/>
    <n v="12020"/>
    <n v="12020"/>
  </r>
  <r>
    <x v="77"/>
    <x v="3"/>
    <n v="110"/>
    <n v="7247020"/>
    <n v="-7247020"/>
  </r>
  <r>
    <x v="77"/>
    <x v="3"/>
    <n v="120"/>
    <n v="6020"/>
    <n v="-6020"/>
  </r>
  <r>
    <x v="77"/>
    <x v="3"/>
    <n v="130"/>
    <n v="18440"/>
    <n v="-18440"/>
  </r>
  <r>
    <x v="77"/>
    <x v="3"/>
    <n v="140"/>
    <n v="12220"/>
    <n v="-12220"/>
  </r>
  <r>
    <x v="77"/>
    <x v="3"/>
    <n v="141"/>
    <n v="348240"/>
    <n v="-348240"/>
  </r>
  <r>
    <x v="77"/>
    <x v="3"/>
    <n v="150"/>
    <n v="66720"/>
    <n v="-66720"/>
  </r>
  <r>
    <x v="77"/>
    <x v="3"/>
    <n v="160"/>
    <n v="10080"/>
    <n v="-10080"/>
  </r>
  <r>
    <x v="77"/>
    <x v="3"/>
    <n v="200"/>
    <n v="52333"/>
    <n v="-52333"/>
  </r>
  <r>
    <x v="77"/>
    <x v="3"/>
    <n v="220"/>
    <n v="191822"/>
    <n v="-191822"/>
  </r>
  <r>
    <x v="77"/>
    <x v="3"/>
    <n v="230"/>
    <n v="7384"/>
    <n v="-7384"/>
  </r>
  <r>
    <x v="77"/>
    <x v="3"/>
    <n v="260"/>
    <n v="-10080"/>
    <n v="10080"/>
  </r>
  <r>
    <x v="77"/>
    <x v="3"/>
    <n v="270"/>
    <n v="0"/>
    <n v="0"/>
  </r>
  <r>
    <x v="78"/>
    <x v="0"/>
    <n v="1"/>
    <n v="1353225"/>
    <n v="1353225"/>
  </r>
  <r>
    <x v="78"/>
    <x v="0"/>
    <n v="10"/>
    <n v="31430640"/>
    <n v="31430640"/>
  </r>
  <r>
    <x v="78"/>
    <x v="0"/>
    <n v="20"/>
    <n v="455995"/>
    <n v="455995"/>
  </r>
  <r>
    <x v="78"/>
    <x v="0"/>
    <n v="50"/>
    <n v="0"/>
    <n v="0"/>
  </r>
  <r>
    <x v="78"/>
    <x v="0"/>
    <n v="110"/>
    <n v="5225160"/>
    <n v="-5225160"/>
  </r>
  <r>
    <x v="78"/>
    <x v="0"/>
    <n v="140"/>
    <n v="27352940"/>
    <n v="-27352940"/>
  </r>
  <r>
    <x v="78"/>
    <x v="0"/>
    <n v="141"/>
    <n v="273180"/>
    <n v="-273180"/>
  </r>
  <r>
    <x v="78"/>
    <x v="0"/>
    <n v="200"/>
    <n v="154473"/>
    <n v="-154473"/>
  </r>
  <r>
    <x v="78"/>
    <x v="0"/>
    <n v="210"/>
    <n v="200727"/>
    <n v="-200727"/>
  </r>
  <r>
    <x v="78"/>
    <x v="0"/>
    <n v="230"/>
    <n v="0"/>
    <n v="0"/>
  </r>
  <r>
    <x v="78"/>
    <x v="0"/>
    <n v="270"/>
    <n v="0"/>
    <n v="0"/>
  </r>
  <r>
    <x v="78"/>
    <x v="1"/>
    <n v="1"/>
    <n v="18552881"/>
    <n v="18552881"/>
  </r>
  <r>
    <x v="78"/>
    <x v="1"/>
    <n v="10"/>
    <n v="23029260"/>
    <n v="23029260"/>
  </r>
  <r>
    <x v="78"/>
    <x v="1"/>
    <n v="20"/>
    <n v="0"/>
    <n v="0"/>
  </r>
  <r>
    <x v="78"/>
    <x v="1"/>
    <n v="50"/>
    <n v="1041780"/>
    <n v="1041780"/>
  </r>
  <r>
    <x v="78"/>
    <x v="1"/>
    <n v="70"/>
    <n v="92675"/>
    <n v="92675"/>
  </r>
  <r>
    <x v="78"/>
    <x v="1"/>
    <n v="110"/>
    <n v="20120040"/>
    <n v="-20120040"/>
  </r>
  <r>
    <x v="78"/>
    <x v="1"/>
    <n v="140"/>
    <n v="0"/>
    <n v="0"/>
  </r>
  <r>
    <x v="78"/>
    <x v="1"/>
    <n v="141"/>
    <n v="1613560"/>
    <n v="-1613560"/>
  </r>
  <r>
    <x v="78"/>
    <x v="1"/>
    <n v="200"/>
    <n v="115146"/>
    <n v="-115146"/>
  </r>
  <r>
    <x v="78"/>
    <x v="1"/>
    <n v="230"/>
    <n v="203554"/>
    <n v="-203554"/>
  </r>
  <r>
    <x v="78"/>
    <x v="1"/>
    <n v="270"/>
    <n v="0"/>
    <n v="0"/>
  </r>
  <r>
    <x v="78"/>
    <x v="2"/>
    <n v="1"/>
    <n v="1532403"/>
    <n v="1532403"/>
  </r>
  <r>
    <x v="78"/>
    <x v="2"/>
    <n v="10"/>
    <n v="8044900"/>
    <n v="8044900"/>
  </r>
  <r>
    <x v="78"/>
    <x v="2"/>
    <n v="20"/>
    <n v="68437"/>
    <n v="68437"/>
  </r>
  <r>
    <x v="78"/>
    <x v="2"/>
    <n v="50"/>
    <n v="0"/>
    <n v="0"/>
  </r>
  <r>
    <x v="78"/>
    <x v="2"/>
    <n v="110"/>
    <n v="3095000"/>
    <n v="-3095000"/>
  </r>
  <r>
    <x v="78"/>
    <x v="2"/>
    <n v="140"/>
    <n v="49260"/>
    <n v="-49260"/>
  </r>
  <r>
    <x v="78"/>
    <x v="2"/>
    <n v="200"/>
    <n v="39997"/>
    <n v="-39997"/>
  </r>
  <r>
    <x v="78"/>
    <x v="2"/>
    <n v="210"/>
    <n v="33006"/>
    <n v="-33006"/>
  </r>
  <r>
    <x v="78"/>
    <x v="2"/>
    <n v="230"/>
    <n v="19964"/>
    <n v="-19964"/>
  </r>
  <r>
    <x v="78"/>
    <x v="2"/>
    <n v="270"/>
    <n v="0"/>
    <n v="0"/>
  </r>
  <r>
    <x v="78"/>
    <x v="3"/>
    <n v="1"/>
    <n v="60138"/>
    <n v="60138"/>
  </r>
  <r>
    <x v="78"/>
    <x v="3"/>
    <n v="10"/>
    <n v="2219540"/>
    <n v="2219540"/>
  </r>
  <r>
    <x v="78"/>
    <x v="3"/>
    <n v="70"/>
    <n v="32542"/>
    <n v="32542"/>
  </r>
  <r>
    <x v="78"/>
    <x v="3"/>
    <n v="110"/>
    <n v="1929200"/>
    <n v="-1929200"/>
  </r>
  <r>
    <x v="78"/>
    <x v="3"/>
    <n v="120"/>
    <n v="2400"/>
    <n v="-2400"/>
  </r>
  <r>
    <x v="78"/>
    <x v="3"/>
    <n v="140"/>
    <n v="92680"/>
    <n v="-92680"/>
  </r>
  <r>
    <x v="78"/>
    <x v="3"/>
    <n v="150"/>
    <n v="21820"/>
    <n v="-21820"/>
  </r>
  <r>
    <x v="78"/>
    <x v="3"/>
    <n v="200"/>
    <n v="22013"/>
    <n v="-22013"/>
  </r>
  <r>
    <x v="78"/>
    <x v="3"/>
    <n v="220"/>
    <n v="0"/>
    <n v="0"/>
  </r>
  <r>
    <x v="78"/>
    <x v="3"/>
    <n v="230"/>
    <n v="13698"/>
    <n v="-13698"/>
  </r>
  <r>
    <x v="79"/>
    <x v="0"/>
    <n v="1"/>
    <n v="8177765"/>
    <n v="8177765"/>
  </r>
  <r>
    <x v="79"/>
    <x v="0"/>
    <n v="10"/>
    <n v="23257260"/>
    <n v="23257260"/>
  </r>
  <r>
    <x v="79"/>
    <x v="0"/>
    <n v="20"/>
    <n v="0"/>
    <n v="0"/>
  </r>
  <r>
    <x v="79"/>
    <x v="0"/>
    <n v="50"/>
    <n v="11280"/>
    <n v="11280"/>
  </r>
  <r>
    <x v="79"/>
    <x v="0"/>
    <n v="100"/>
    <n v="0"/>
    <n v="0"/>
  </r>
  <r>
    <x v="79"/>
    <x v="0"/>
    <n v="110"/>
    <n v="9628140"/>
    <n v="-9628140"/>
  </r>
  <r>
    <x v="79"/>
    <x v="0"/>
    <n v="130"/>
    <n v="615360"/>
    <n v="-615360"/>
  </r>
  <r>
    <x v="79"/>
    <x v="0"/>
    <n v="140"/>
    <n v="16091460"/>
    <n v="-16091460"/>
  </r>
  <r>
    <x v="79"/>
    <x v="0"/>
    <n v="141"/>
    <n v="282380"/>
    <n v="-282380"/>
  </r>
  <r>
    <x v="79"/>
    <x v="0"/>
    <n v="200"/>
    <n v="113671"/>
    <n v="-113671"/>
  </r>
  <r>
    <x v="79"/>
    <x v="0"/>
    <n v="210"/>
    <n v="183537"/>
    <n v="-183537"/>
  </r>
  <r>
    <x v="79"/>
    <x v="0"/>
    <n v="230"/>
    <n v="0"/>
    <n v="0"/>
  </r>
  <r>
    <x v="79"/>
    <x v="0"/>
    <n v="270"/>
    <n v="0"/>
    <n v="0"/>
  </r>
  <r>
    <x v="79"/>
    <x v="1"/>
    <n v="0"/>
    <n v="380"/>
    <n v="380"/>
  </r>
  <r>
    <x v="79"/>
    <x v="1"/>
    <n v="1"/>
    <n v="6280602"/>
    <n v="6280602"/>
  </r>
  <r>
    <x v="79"/>
    <x v="1"/>
    <n v="10"/>
    <n v="8730580"/>
    <n v="8730580"/>
  </r>
  <r>
    <x v="79"/>
    <x v="1"/>
    <n v="20"/>
    <n v="0"/>
    <n v="0"/>
  </r>
  <r>
    <x v="79"/>
    <x v="1"/>
    <n v="50"/>
    <n v="0"/>
    <n v="0"/>
  </r>
  <r>
    <x v="79"/>
    <x v="1"/>
    <n v="110"/>
    <n v="6887600"/>
    <n v="-6887600"/>
  </r>
  <r>
    <x v="79"/>
    <x v="1"/>
    <n v="140"/>
    <n v="22180"/>
    <n v="-22180"/>
  </r>
  <r>
    <x v="79"/>
    <x v="1"/>
    <n v="200"/>
    <n v="43653"/>
    <n v="-43653"/>
  </r>
  <r>
    <x v="79"/>
    <x v="1"/>
    <n v="230"/>
    <n v="105898"/>
    <n v="-105898"/>
  </r>
  <r>
    <x v="79"/>
    <x v="1"/>
    <n v="270"/>
    <n v="0"/>
    <n v="0"/>
  </r>
  <r>
    <x v="79"/>
    <x v="2"/>
    <n v="1"/>
    <n v="2088572"/>
    <n v="2088572"/>
  </r>
  <r>
    <x v="79"/>
    <x v="2"/>
    <n v="10"/>
    <n v="4120860"/>
    <n v="4120860"/>
  </r>
  <r>
    <x v="79"/>
    <x v="2"/>
    <n v="20"/>
    <n v="44628"/>
    <n v="44628"/>
  </r>
  <r>
    <x v="79"/>
    <x v="2"/>
    <n v="70"/>
    <n v="0"/>
    <n v="0"/>
  </r>
  <r>
    <x v="79"/>
    <x v="2"/>
    <n v="110"/>
    <n v="806360"/>
    <n v="-806360"/>
  </r>
  <r>
    <x v="79"/>
    <x v="2"/>
    <n v="140"/>
    <n v="0"/>
    <n v="0"/>
  </r>
  <r>
    <x v="79"/>
    <x v="2"/>
    <n v="141"/>
    <n v="1861420"/>
    <n v="-1861420"/>
  </r>
  <r>
    <x v="79"/>
    <x v="2"/>
    <n v="200"/>
    <n v="20604"/>
    <n v="-20604"/>
  </r>
  <r>
    <x v="79"/>
    <x v="2"/>
    <n v="210"/>
    <n v="27341"/>
    <n v="-27341"/>
  </r>
  <r>
    <x v="79"/>
    <x v="2"/>
    <n v="220"/>
    <n v="0"/>
    <n v="0"/>
  </r>
  <r>
    <x v="79"/>
    <x v="2"/>
    <n v="230"/>
    <n v="3517"/>
    <n v="-3517"/>
  </r>
  <r>
    <x v="79"/>
    <x v="2"/>
    <n v="270"/>
    <n v="0"/>
    <n v="0"/>
  </r>
  <r>
    <x v="79"/>
    <x v="3"/>
    <n v="1"/>
    <n v="4102952"/>
    <n v="4102952"/>
  </r>
  <r>
    <x v="79"/>
    <x v="3"/>
    <n v="10"/>
    <n v="5565360"/>
    <n v="5565360"/>
  </r>
  <r>
    <x v="79"/>
    <x v="3"/>
    <n v="50"/>
    <n v="139540"/>
    <n v="139540"/>
  </r>
  <r>
    <x v="79"/>
    <x v="3"/>
    <n v="70"/>
    <n v="-17772"/>
    <n v="-17772"/>
  </r>
  <r>
    <x v="79"/>
    <x v="3"/>
    <n v="110"/>
    <n v="9530340"/>
    <n v="-9530340"/>
  </r>
  <r>
    <x v="79"/>
    <x v="3"/>
    <n v="140"/>
    <n v="13640"/>
    <n v="-13640"/>
  </r>
  <r>
    <x v="79"/>
    <x v="3"/>
    <n v="200"/>
    <n v="55654"/>
    <n v="-55654"/>
  </r>
  <r>
    <x v="79"/>
    <x v="3"/>
    <n v="220"/>
    <n v="26718"/>
    <n v="-26718"/>
  </r>
  <r>
    <x v="79"/>
    <x v="3"/>
    <n v="230"/>
    <n v="24188"/>
    <n v="-24188"/>
  </r>
  <r>
    <x v="79"/>
    <x v="3"/>
    <n v="270"/>
    <n v="0"/>
    <n v="0"/>
  </r>
  <r>
    <x v="80"/>
    <x v="0"/>
    <n v="1"/>
    <n v="394673"/>
    <n v="394673"/>
  </r>
  <r>
    <x v="80"/>
    <x v="0"/>
    <n v="10"/>
    <n v="18349500"/>
    <n v="18349500"/>
  </r>
  <r>
    <x v="80"/>
    <x v="0"/>
    <n v="50"/>
    <n v="0"/>
    <n v="0"/>
  </r>
  <r>
    <x v="80"/>
    <x v="0"/>
    <n v="110"/>
    <n v="6181180"/>
    <n v="-6181180"/>
  </r>
  <r>
    <x v="80"/>
    <x v="0"/>
    <n v="140"/>
    <n v="12267560"/>
    <n v="-12267560"/>
  </r>
  <r>
    <x v="80"/>
    <x v="0"/>
    <n v="200"/>
    <n v="91748"/>
    <n v="-91748"/>
  </r>
  <r>
    <x v="80"/>
    <x v="0"/>
    <n v="210"/>
    <n v="76724"/>
    <n v="-76724"/>
  </r>
  <r>
    <x v="80"/>
    <x v="0"/>
    <n v="220"/>
    <n v="126961"/>
    <n v="-126961"/>
  </r>
  <r>
    <x v="80"/>
    <x v="0"/>
    <n v="230"/>
    <n v="0"/>
    <n v="0"/>
  </r>
  <r>
    <x v="80"/>
    <x v="0"/>
    <n v="270"/>
    <n v="0"/>
    <n v="0"/>
  </r>
  <r>
    <x v="80"/>
    <x v="1"/>
    <n v="0"/>
    <n v="-140"/>
    <n v="-140"/>
  </r>
  <r>
    <x v="80"/>
    <x v="1"/>
    <n v="1"/>
    <n v="9453812"/>
    <n v="9453812"/>
  </r>
  <r>
    <x v="80"/>
    <x v="1"/>
    <n v="10"/>
    <n v="8125840"/>
    <n v="8125840"/>
  </r>
  <r>
    <x v="80"/>
    <x v="1"/>
    <n v="50"/>
    <n v="22200"/>
    <n v="22200"/>
  </r>
  <r>
    <x v="80"/>
    <x v="1"/>
    <n v="110"/>
    <n v="9526840"/>
    <n v="-9526840"/>
  </r>
  <r>
    <x v="80"/>
    <x v="1"/>
    <n v="140"/>
    <n v="4240"/>
    <n v="-4240"/>
  </r>
  <r>
    <x v="80"/>
    <x v="1"/>
    <n v="200"/>
    <n v="40629"/>
    <n v="-40629"/>
  </r>
  <r>
    <x v="80"/>
    <x v="1"/>
    <n v="220"/>
    <n v="0"/>
    <n v="0"/>
  </r>
  <r>
    <x v="80"/>
    <x v="1"/>
    <n v="230"/>
    <n v="103565"/>
    <n v="-103565"/>
  </r>
  <r>
    <x v="80"/>
    <x v="1"/>
    <n v="270"/>
    <n v="0"/>
    <n v="0"/>
  </r>
  <r>
    <x v="81"/>
    <x v="0"/>
    <n v="1"/>
    <n v="4082436"/>
    <n v="4082436"/>
  </r>
  <r>
    <x v="81"/>
    <x v="0"/>
    <n v="10"/>
    <n v="5899820"/>
    <n v="5899820"/>
  </r>
  <r>
    <x v="81"/>
    <x v="0"/>
    <n v="110"/>
    <n v="222460"/>
    <n v="-222460"/>
  </r>
  <r>
    <x v="81"/>
    <x v="0"/>
    <n v="140"/>
    <n v="0"/>
    <n v="0"/>
  </r>
  <r>
    <x v="81"/>
    <x v="0"/>
    <n v="141"/>
    <n v="1122740"/>
    <n v="-1122740"/>
  </r>
  <r>
    <x v="81"/>
    <x v="0"/>
    <n v="200"/>
    <n v="29240"/>
    <n v="-29240"/>
  </r>
  <r>
    <x v="81"/>
    <x v="0"/>
    <n v="210"/>
    <n v="22911"/>
    <n v="-22911"/>
  </r>
  <r>
    <x v="81"/>
    <x v="0"/>
    <n v="270"/>
    <n v="0"/>
    <n v="0"/>
  </r>
  <r>
    <x v="81"/>
    <x v="1"/>
    <n v="1"/>
    <n v="2841641"/>
    <n v="2841641"/>
  </r>
  <r>
    <x v="81"/>
    <x v="1"/>
    <n v="10"/>
    <n v="5209220"/>
    <n v="5209220"/>
  </r>
  <r>
    <x v="81"/>
    <x v="1"/>
    <n v="20"/>
    <n v="0"/>
    <n v="0"/>
  </r>
  <r>
    <x v="81"/>
    <x v="1"/>
    <n v="50"/>
    <n v="4100"/>
    <n v="4100"/>
  </r>
  <r>
    <x v="81"/>
    <x v="1"/>
    <n v="110"/>
    <n v="2911480"/>
    <n v="-2911480"/>
  </r>
  <r>
    <x v="81"/>
    <x v="1"/>
    <n v="140"/>
    <n v="0"/>
    <n v="0"/>
  </r>
  <r>
    <x v="81"/>
    <x v="1"/>
    <n v="141"/>
    <n v="2093120"/>
    <n v="-2093120"/>
  </r>
  <r>
    <x v="81"/>
    <x v="1"/>
    <n v="200"/>
    <n v="26046"/>
    <n v="-26046"/>
  </r>
  <r>
    <x v="81"/>
    <x v="1"/>
    <n v="230"/>
    <n v="115207"/>
    <n v="-115207"/>
  </r>
  <r>
    <x v="81"/>
    <x v="1"/>
    <n v="270"/>
    <n v="0"/>
    <n v="0"/>
  </r>
  <r>
    <x v="81"/>
    <x v="2"/>
    <n v="1"/>
    <n v="1626847"/>
    <n v="1626847"/>
  </r>
  <r>
    <x v="81"/>
    <x v="2"/>
    <n v="10"/>
    <n v="1650260"/>
    <n v="1650260"/>
  </r>
  <r>
    <x v="81"/>
    <x v="2"/>
    <n v="70"/>
    <n v="0"/>
    <n v="0"/>
  </r>
  <r>
    <x v="81"/>
    <x v="2"/>
    <n v="110"/>
    <n v="0"/>
    <n v="0"/>
  </r>
  <r>
    <x v="81"/>
    <x v="2"/>
    <n v="140"/>
    <n v="0"/>
    <n v="0"/>
  </r>
  <r>
    <x v="81"/>
    <x v="2"/>
    <n v="141"/>
    <n v="1091820"/>
    <n v="-1091820"/>
  </r>
  <r>
    <x v="81"/>
    <x v="2"/>
    <n v="200"/>
    <n v="8251"/>
    <n v="-8251"/>
  </r>
  <r>
    <x v="81"/>
    <x v="2"/>
    <n v="210"/>
    <n v="7742"/>
    <n v="-7742"/>
  </r>
  <r>
    <x v="81"/>
    <x v="2"/>
    <n v="230"/>
    <n v="712"/>
    <n v="-712"/>
  </r>
  <r>
    <x v="81"/>
    <x v="2"/>
    <n v="270"/>
    <n v="0"/>
    <n v="0"/>
  </r>
  <r>
    <x v="81"/>
    <x v="3"/>
    <n v="1"/>
    <n v="5242031"/>
    <n v="5242031"/>
  </r>
  <r>
    <x v="81"/>
    <x v="3"/>
    <n v="10"/>
    <n v="3742700"/>
    <n v="3742700"/>
  </r>
  <r>
    <x v="81"/>
    <x v="3"/>
    <n v="50"/>
    <n v="13700"/>
    <n v="13700"/>
  </r>
  <r>
    <x v="81"/>
    <x v="3"/>
    <n v="110"/>
    <n v="6409180"/>
    <n v="-6409180"/>
  </r>
  <r>
    <x v="81"/>
    <x v="3"/>
    <n v="140"/>
    <n v="1036020"/>
    <n v="-1036020"/>
  </r>
  <r>
    <x v="81"/>
    <x v="3"/>
    <n v="200"/>
    <n v="37427"/>
    <n v="-37427"/>
  </r>
  <r>
    <x v="81"/>
    <x v="3"/>
    <n v="220"/>
    <n v="0"/>
    <n v="0"/>
  </r>
  <r>
    <x v="81"/>
    <x v="3"/>
    <n v="230"/>
    <n v="5395"/>
    <n v="-5395"/>
  </r>
  <r>
    <x v="81"/>
    <x v="3"/>
    <n v="270"/>
    <n v="0"/>
    <n v="0"/>
  </r>
  <r>
    <x v="82"/>
    <x v="0"/>
    <n v="1"/>
    <n v="38573171"/>
    <n v="38573171"/>
  </r>
  <r>
    <x v="82"/>
    <x v="0"/>
    <n v="10"/>
    <n v="28799980"/>
    <n v="28799980"/>
  </r>
  <r>
    <x v="82"/>
    <x v="0"/>
    <n v="110"/>
    <n v="5186420"/>
    <n v="-5186420"/>
  </r>
  <r>
    <x v="82"/>
    <x v="0"/>
    <n v="120"/>
    <n v="5600"/>
    <n v="-5600"/>
  </r>
  <r>
    <x v="82"/>
    <x v="0"/>
    <n v="130"/>
    <n v="0"/>
    <n v="0"/>
  </r>
  <r>
    <x v="82"/>
    <x v="0"/>
    <n v="140"/>
    <n v="23506080"/>
    <n v="-23506080"/>
  </r>
  <r>
    <x v="82"/>
    <x v="0"/>
    <n v="141"/>
    <n v="11733560"/>
    <n v="-11733560"/>
  </r>
  <r>
    <x v="82"/>
    <x v="0"/>
    <n v="150"/>
    <n v="60420"/>
    <n v="-60420"/>
  </r>
  <r>
    <x v="82"/>
    <x v="0"/>
    <n v="200"/>
    <n v="143508"/>
    <n v="-143508"/>
  </r>
  <r>
    <x v="82"/>
    <x v="0"/>
    <n v="210"/>
    <n v="252254"/>
    <n v="-252254"/>
  </r>
  <r>
    <x v="82"/>
    <x v="0"/>
    <n v="230"/>
    <n v="0"/>
    <n v="0"/>
  </r>
  <r>
    <x v="82"/>
    <x v="0"/>
    <n v="270"/>
    <n v="0"/>
    <n v="0"/>
  </r>
  <r>
    <x v="82"/>
    <x v="1"/>
    <n v="1"/>
    <n v="2814746"/>
    <n v="2814746"/>
  </r>
  <r>
    <x v="82"/>
    <x v="1"/>
    <n v="10"/>
    <n v="9325900"/>
    <n v="9325900"/>
  </r>
  <r>
    <x v="82"/>
    <x v="1"/>
    <n v="50"/>
    <n v="694720"/>
    <n v="694720"/>
  </r>
  <r>
    <x v="82"/>
    <x v="1"/>
    <n v="110"/>
    <n v="3968596"/>
    <n v="-3968596"/>
  </r>
  <r>
    <x v="82"/>
    <x v="1"/>
    <n v="120"/>
    <n v="0"/>
    <n v="0"/>
  </r>
  <r>
    <x v="82"/>
    <x v="1"/>
    <n v="130"/>
    <n v="286304"/>
    <n v="-286304"/>
  </r>
  <r>
    <x v="82"/>
    <x v="1"/>
    <n v="140"/>
    <n v="0"/>
    <n v="0"/>
  </r>
  <r>
    <x v="82"/>
    <x v="1"/>
    <n v="150"/>
    <n v="416485"/>
    <n v="-416485"/>
  </r>
  <r>
    <x v="82"/>
    <x v="1"/>
    <n v="160"/>
    <n v="0"/>
    <n v="0"/>
  </r>
  <r>
    <x v="82"/>
    <x v="1"/>
    <n v="200"/>
    <n v="46630"/>
    <n v="-46630"/>
  </r>
  <r>
    <x v="82"/>
    <x v="1"/>
    <n v="230"/>
    <n v="79961"/>
    <n v="-79961"/>
  </r>
  <r>
    <x v="82"/>
    <x v="1"/>
    <n v="270"/>
    <n v="0"/>
    <n v="0"/>
  </r>
  <r>
    <x v="82"/>
    <x v="2"/>
    <n v="1"/>
    <n v="7768949"/>
    <n v="7768949"/>
  </r>
  <r>
    <x v="82"/>
    <x v="2"/>
    <n v="10"/>
    <n v="9200640"/>
    <n v="9200640"/>
  </r>
  <r>
    <x v="82"/>
    <x v="2"/>
    <n v="50"/>
    <n v="1760"/>
    <n v="1760"/>
  </r>
  <r>
    <x v="82"/>
    <x v="2"/>
    <n v="70"/>
    <n v="66028"/>
    <n v="66028"/>
  </r>
  <r>
    <x v="82"/>
    <x v="2"/>
    <n v="110"/>
    <n v="9056000"/>
    <n v="-9056000"/>
  </r>
  <r>
    <x v="82"/>
    <x v="2"/>
    <n v="120"/>
    <n v="10100"/>
    <n v="-10100"/>
  </r>
  <r>
    <x v="82"/>
    <x v="2"/>
    <n v="140"/>
    <n v="52980"/>
    <n v="-52980"/>
  </r>
  <r>
    <x v="82"/>
    <x v="2"/>
    <n v="200"/>
    <n v="44980"/>
    <n v="-44980"/>
  </r>
  <r>
    <x v="82"/>
    <x v="2"/>
    <n v="210"/>
    <n v="86951"/>
    <n v="-86951"/>
  </r>
  <r>
    <x v="82"/>
    <x v="2"/>
    <n v="230"/>
    <n v="35961"/>
    <n v="-35961"/>
  </r>
  <r>
    <x v="82"/>
    <x v="2"/>
    <n v="270"/>
    <n v="0"/>
    <n v="0"/>
  </r>
  <r>
    <x v="82"/>
    <x v="3"/>
    <n v="1"/>
    <n v="13718765"/>
    <n v="13718765"/>
  </r>
  <r>
    <x v="82"/>
    <x v="3"/>
    <n v="10"/>
    <n v="32457420"/>
    <n v="32457420"/>
  </r>
  <r>
    <x v="82"/>
    <x v="3"/>
    <n v="50"/>
    <n v="25140"/>
    <n v="25140"/>
  </r>
  <r>
    <x v="82"/>
    <x v="3"/>
    <n v="70"/>
    <n v="-87068"/>
    <n v="-87068"/>
  </r>
  <r>
    <x v="82"/>
    <x v="3"/>
    <n v="110"/>
    <n v="23115785"/>
    <n v="-23115785"/>
  </r>
  <r>
    <x v="82"/>
    <x v="3"/>
    <n v="120"/>
    <n v="92660"/>
    <n v="-92660"/>
  </r>
  <r>
    <x v="82"/>
    <x v="3"/>
    <n v="130"/>
    <n v="892657"/>
    <n v="-892657"/>
  </r>
  <r>
    <x v="82"/>
    <x v="3"/>
    <n v="140"/>
    <n v="1119180"/>
    <n v="-1119180"/>
  </r>
  <r>
    <x v="82"/>
    <x v="3"/>
    <n v="150"/>
    <n v="1532876"/>
    <n v="-1532876"/>
  </r>
  <r>
    <x v="82"/>
    <x v="3"/>
    <n v="200"/>
    <n v="324526"/>
    <n v="-324526"/>
  </r>
  <r>
    <x v="82"/>
    <x v="3"/>
    <n v="210"/>
    <n v="1398"/>
    <n v="-1398"/>
  </r>
  <r>
    <x v="82"/>
    <x v="3"/>
    <n v="220"/>
    <n v="0"/>
    <n v="0"/>
  </r>
  <r>
    <x v="82"/>
    <x v="3"/>
    <n v="230"/>
    <n v="48515"/>
    <n v="-48515"/>
  </r>
  <r>
    <x v="82"/>
    <x v="3"/>
    <n v="270"/>
    <n v="0"/>
    <n v="0"/>
  </r>
  <r>
    <x v="83"/>
    <x v="0"/>
    <n v="1"/>
    <n v="7871597"/>
    <n v="7871597"/>
  </r>
  <r>
    <x v="83"/>
    <x v="0"/>
    <n v="10"/>
    <n v="164392910"/>
    <n v="164392910"/>
  </r>
  <r>
    <x v="83"/>
    <x v="0"/>
    <n v="50"/>
    <n v="43315860"/>
    <n v="43315860"/>
  </r>
  <r>
    <x v="83"/>
    <x v="0"/>
    <n v="51"/>
    <n v="326727000"/>
    <n v="326727000"/>
  </r>
  <r>
    <x v="83"/>
    <x v="0"/>
    <n v="70"/>
    <n v="3600785"/>
    <n v="3600785"/>
  </r>
  <r>
    <x v="83"/>
    <x v="0"/>
    <n v="100"/>
    <n v="478584100"/>
    <n v="-478584100"/>
  </r>
  <r>
    <x v="83"/>
    <x v="0"/>
    <n v="110"/>
    <n v="2580640"/>
    <n v="-2580640"/>
  </r>
  <r>
    <x v="83"/>
    <x v="0"/>
    <n v="130"/>
    <n v="0"/>
    <n v="0"/>
  </r>
  <r>
    <x v="83"/>
    <x v="0"/>
    <n v="140"/>
    <n v="20708660"/>
    <n v="-20708660"/>
  </r>
  <r>
    <x v="83"/>
    <x v="0"/>
    <n v="200"/>
    <n v="711348"/>
    <n v="-711348"/>
  </r>
  <r>
    <x v="83"/>
    <x v="0"/>
    <n v="210"/>
    <n v="1220495"/>
    <n v="-1220495"/>
  </r>
  <r>
    <x v="83"/>
    <x v="0"/>
    <n v="211"/>
    <n v="2251165"/>
    <n v="-2251165"/>
  </r>
  <r>
    <x v="83"/>
    <x v="1"/>
    <n v="1"/>
    <n v="4798673"/>
    <n v="4798673"/>
  </r>
  <r>
    <x v="83"/>
    <x v="1"/>
    <n v="10"/>
    <n v="81778400"/>
    <n v="81778400"/>
  </r>
  <r>
    <x v="83"/>
    <x v="1"/>
    <n v="15"/>
    <n v="0"/>
    <n v="0"/>
  </r>
  <r>
    <x v="83"/>
    <x v="1"/>
    <n v="50"/>
    <n v="186260"/>
    <n v="186260"/>
  </r>
  <r>
    <x v="83"/>
    <x v="1"/>
    <n v="51"/>
    <n v="199259980"/>
    <n v="199259980"/>
  </r>
  <r>
    <x v="83"/>
    <x v="1"/>
    <n v="70"/>
    <n v="7560000"/>
    <n v="7560000"/>
  </r>
  <r>
    <x v="83"/>
    <x v="1"/>
    <n v="100"/>
    <n v="287907930"/>
    <n v="-287907930"/>
  </r>
  <r>
    <x v="83"/>
    <x v="1"/>
    <n v="110"/>
    <n v="0"/>
    <n v="0"/>
  </r>
  <r>
    <x v="83"/>
    <x v="1"/>
    <n v="130"/>
    <n v="0"/>
    <n v="0"/>
  </r>
  <r>
    <x v="83"/>
    <x v="1"/>
    <n v="140"/>
    <n v="0"/>
    <n v="0"/>
  </r>
  <r>
    <x v="83"/>
    <x v="1"/>
    <n v="200"/>
    <n v="402513"/>
    <n v="-402513"/>
  </r>
  <r>
    <x v="83"/>
    <x v="1"/>
    <n v="230"/>
    <n v="1025057"/>
    <n v="-1025057"/>
  </r>
  <r>
    <x v="83"/>
    <x v="1"/>
    <n v="231"/>
    <n v="1387734"/>
    <n v="-1387734"/>
  </r>
  <r>
    <x v="83"/>
    <x v="2"/>
    <n v="1"/>
    <n v="1044447"/>
    <n v="1044447"/>
  </r>
  <r>
    <x v="83"/>
    <x v="2"/>
    <n v="10"/>
    <n v="76161780"/>
    <n v="76161780"/>
  </r>
  <r>
    <x v="83"/>
    <x v="2"/>
    <n v="20"/>
    <n v="1131263"/>
    <n v="1131263"/>
  </r>
  <r>
    <x v="83"/>
    <x v="2"/>
    <n v="50"/>
    <n v="0"/>
    <n v="0"/>
  </r>
  <r>
    <x v="83"/>
    <x v="2"/>
    <n v="51"/>
    <n v="117724460"/>
    <n v="117724460"/>
  </r>
  <r>
    <x v="83"/>
    <x v="2"/>
    <n v="100"/>
    <n v="119171020"/>
    <n v="-119171020"/>
  </r>
  <r>
    <x v="83"/>
    <x v="2"/>
    <n v="110"/>
    <n v="57780"/>
    <n v="-57780"/>
  </r>
  <r>
    <x v="83"/>
    <x v="2"/>
    <n v="130"/>
    <n v="0"/>
    <n v="0"/>
  </r>
  <r>
    <x v="83"/>
    <x v="2"/>
    <n v="140"/>
    <n v="0"/>
    <n v="0"/>
  </r>
  <r>
    <x v="83"/>
    <x v="2"/>
    <n v="141"/>
    <n v="18960"/>
    <n v="-18960"/>
  </r>
  <r>
    <x v="83"/>
    <x v="2"/>
    <n v="200"/>
    <n v="374717"/>
    <n v="-374717"/>
  </r>
  <r>
    <x v="83"/>
    <x v="2"/>
    <n v="210"/>
    <n v="21909"/>
    <n v="-21909"/>
  </r>
  <r>
    <x v="83"/>
    <x v="2"/>
    <n v="211"/>
    <n v="490754"/>
    <n v="-490754"/>
  </r>
  <r>
    <x v="83"/>
    <x v="2"/>
    <n v="230"/>
    <n v="347365"/>
    <n v="-347365"/>
  </r>
  <r>
    <x v="83"/>
    <x v="2"/>
    <n v="231"/>
    <n v="46204"/>
    <n v="-46204"/>
  </r>
  <r>
    <x v="83"/>
    <x v="3"/>
    <n v="1"/>
    <n v="18005865"/>
    <n v="18005865"/>
  </r>
  <r>
    <x v="83"/>
    <x v="3"/>
    <n v="10"/>
    <n v="124341260"/>
    <n v="124341260"/>
  </r>
  <r>
    <x v="83"/>
    <x v="3"/>
    <n v="20"/>
    <n v="0"/>
    <n v="0"/>
  </r>
  <r>
    <x v="83"/>
    <x v="3"/>
    <n v="50"/>
    <n v="-168040"/>
    <n v="-168040"/>
  </r>
  <r>
    <x v="83"/>
    <x v="3"/>
    <n v="51"/>
    <n v="550008100"/>
    <n v="550008100"/>
  </r>
  <r>
    <x v="83"/>
    <x v="3"/>
    <n v="100"/>
    <n v="670487660"/>
    <n v="-670487660"/>
  </r>
  <r>
    <x v="83"/>
    <x v="3"/>
    <n v="110"/>
    <n v="776570"/>
    <n v="-776570"/>
  </r>
  <r>
    <x v="83"/>
    <x v="3"/>
    <n v="140"/>
    <n v="0"/>
    <n v="0"/>
  </r>
  <r>
    <x v="83"/>
    <x v="3"/>
    <n v="141"/>
    <n v="156320"/>
    <n v="-156320"/>
  </r>
  <r>
    <x v="83"/>
    <x v="3"/>
    <n v="200"/>
    <n v="982034"/>
    <n v="-982034"/>
  </r>
  <r>
    <x v="83"/>
    <x v="3"/>
    <n v="210"/>
    <n v="56440"/>
    <n v="-56440"/>
  </r>
  <r>
    <x v="83"/>
    <x v="3"/>
    <n v="211"/>
    <n v="923473"/>
    <n v="-923473"/>
  </r>
  <r>
    <x v="83"/>
    <x v="3"/>
    <n v="230"/>
    <n v="501767"/>
    <n v="-501767"/>
  </r>
  <r>
    <x v="83"/>
    <x v="3"/>
    <n v="231"/>
    <n v="139986"/>
    <n v="-139986"/>
  </r>
  <r>
    <x v="84"/>
    <x v="0"/>
    <n v="1"/>
    <n v="160554010"/>
    <n v="160554010"/>
  </r>
  <r>
    <x v="84"/>
    <x v="0"/>
    <n v="10"/>
    <n v="112741420"/>
    <n v="112741420"/>
  </r>
  <r>
    <x v="84"/>
    <x v="0"/>
    <n v="15"/>
    <n v="0"/>
    <n v="0"/>
  </r>
  <r>
    <x v="84"/>
    <x v="0"/>
    <n v="50"/>
    <n v="20708660"/>
    <n v="20708660"/>
  </r>
  <r>
    <x v="84"/>
    <x v="0"/>
    <n v="51"/>
    <n v="4064320"/>
    <n v="4064320"/>
  </r>
  <r>
    <x v="84"/>
    <x v="0"/>
    <n v="70"/>
    <n v="0"/>
    <n v="0"/>
  </r>
  <r>
    <x v="84"/>
    <x v="0"/>
    <n v="110"/>
    <n v="0"/>
    <n v="0"/>
  </r>
  <r>
    <x v="84"/>
    <x v="0"/>
    <n v="130"/>
    <n v="0"/>
    <n v="0"/>
  </r>
  <r>
    <x v="84"/>
    <x v="0"/>
    <n v="140"/>
    <n v="43315860"/>
    <n v="-43315860"/>
  </r>
  <r>
    <x v="84"/>
    <x v="0"/>
    <n v="141"/>
    <n v="2320020"/>
    <n v="-2320020"/>
  </r>
  <r>
    <x v="84"/>
    <x v="0"/>
    <n v="200"/>
    <n v="563987"/>
    <n v="-563987"/>
  </r>
  <r>
    <x v="84"/>
    <x v="0"/>
    <n v="210"/>
    <n v="837712"/>
    <n v="-837712"/>
  </r>
  <r>
    <x v="84"/>
    <x v="0"/>
    <n v="211"/>
    <n v="29788"/>
    <n v="-29788"/>
  </r>
  <r>
    <x v="84"/>
    <x v="1"/>
    <n v="1"/>
    <n v="0"/>
    <n v="0"/>
  </r>
  <r>
    <x v="84"/>
    <x v="1"/>
    <n v="10"/>
    <n v="0"/>
    <n v="0"/>
  </r>
  <r>
    <x v="84"/>
    <x v="1"/>
    <n v="50"/>
    <n v="0"/>
    <n v="0"/>
  </r>
  <r>
    <x v="84"/>
    <x v="1"/>
    <n v="70"/>
    <n v="0"/>
    <n v="0"/>
  </r>
  <r>
    <x v="84"/>
    <x v="1"/>
    <n v="140"/>
    <n v="0"/>
    <n v="0"/>
  </r>
  <r>
    <x v="84"/>
    <x v="1"/>
    <n v="200"/>
    <n v="0"/>
    <n v="0"/>
  </r>
  <r>
    <x v="84"/>
    <x v="1"/>
    <n v="230"/>
    <n v="0"/>
    <n v="0"/>
  </r>
  <r>
    <x v="84"/>
    <x v="2"/>
    <n v="10"/>
    <n v="0"/>
    <n v="0"/>
  </r>
  <r>
    <x v="84"/>
    <x v="2"/>
    <n v="50"/>
    <n v="0"/>
    <n v="0"/>
  </r>
  <r>
    <x v="84"/>
    <x v="2"/>
    <n v="210"/>
    <n v="0"/>
    <n v="0"/>
  </r>
  <r>
    <x v="84"/>
    <x v="2"/>
    <n v="230"/>
    <n v="0"/>
    <n v="0"/>
  </r>
  <r>
    <x v="84"/>
    <x v="3"/>
    <n v="1"/>
    <n v="0"/>
    <n v="0"/>
  </r>
  <r>
    <x v="84"/>
    <x v="3"/>
    <n v="10"/>
    <n v="0"/>
    <n v="0"/>
  </r>
  <r>
    <x v="84"/>
    <x v="3"/>
    <n v="50"/>
    <n v="0"/>
    <n v="0"/>
  </r>
  <r>
    <x v="84"/>
    <x v="3"/>
    <n v="51"/>
    <n v="0"/>
    <n v="0"/>
  </r>
  <r>
    <x v="84"/>
    <x v="3"/>
    <n v="70"/>
    <n v="0"/>
    <n v="0"/>
  </r>
  <r>
    <x v="84"/>
    <x v="3"/>
    <n v="110"/>
    <n v="0"/>
    <n v="0"/>
  </r>
  <r>
    <x v="84"/>
    <x v="3"/>
    <n v="140"/>
    <n v="0"/>
    <n v="0"/>
  </r>
  <r>
    <x v="84"/>
    <x v="3"/>
    <n v="200"/>
    <n v="0"/>
    <n v="0"/>
  </r>
  <r>
    <x v="84"/>
    <x v="3"/>
    <n v="210"/>
    <n v="0"/>
    <n v="0"/>
  </r>
  <r>
    <x v="84"/>
    <x v="3"/>
    <n v="211"/>
    <n v="0"/>
    <n v="0"/>
  </r>
  <r>
    <x v="84"/>
    <x v="3"/>
    <n v="220"/>
    <n v="0"/>
    <n v="0"/>
  </r>
  <r>
    <x v="84"/>
    <x v="3"/>
    <n v="230"/>
    <n v="0"/>
    <n v="0"/>
  </r>
  <r>
    <x v="85"/>
    <x v="0"/>
    <n v="1"/>
    <n v="28312780"/>
    <n v="28312780"/>
  </r>
  <r>
    <x v="85"/>
    <x v="0"/>
    <n v="50"/>
    <n v="0"/>
    <n v="0"/>
  </r>
  <r>
    <x v="85"/>
    <x v="0"/>
    <n v="210"/>
    <n v="0"/>
    <n v="0"/>
  </r>
  <r>
    <x v="86"/>
    <x v="0"/>
    <n v="50"/>
    <n v="272922400"/>
    <n v="272922400"/>
  </r>
  <r>
    <x v="86"/>
    <x v="0"/>
    <n v="110"/>
    <n v="0"/>
    <n v="0"/>
  </r>
  <r>
    <x v="86"/>
    <x v="0"/>
    <n v="141"/>
    <n v="55440"/>
    <n v="-55440"/>
  </r>
  <r>
    <x v="87"/>
    <x v="0"/>
    <n v="50"/>
    <n v="6280720"/>
    <n v="6280720"/>
  </r>
  <r>
    <x v="87"/>
    <x v="0"/>
    <n v="210"/>
    <n v="56260"/>
    <n v="-56260"/>
  </r>
  <r>
    <x v="88"/>
    <x v="0"/>
    <n v="17"/>
    <n v="0"/>
    <n v="0"/>
  </r>
  <r>
    <x v="88"/>
    <x v="0"/>
    <n v="210"/>
    <n v="0"/>
    <n v="0"/>
  </r>
  <r>
    <x v="89"/>
    <x v="0"/>
    <n v="10"/>
    <n v="0"/>
    <n v="0"/>
  </r>
  <r>
    <x v="89"/>
    <x v="0"/>
    <n v="110"/>
    <n v="0"/>
    <n v="0"/>
  </r>
  <r>
    <x v="89"/>
    <x v="0"/>
    <n v="210"/>
    <n v="0"/>
    <n v="0"/>
  </r>
  <r>
    <x v="89"/>
    <x v="1"/>
    <n v="10"/>
    <n v="0"/>
    <n v="0"/>
  </r>
  <r>
    <x v="89"/>
    <x v="1"/>
    <n v="230"/>
    <n v="0"/>
    <n v="0"/>
  </r>
  <r>
    <x v="89"/>
    <x v="3"/>
    <n v="10"/>
    <n v="0"/>
    <n v="0"/>
  </r>
  <r>
    <x v="89"/>
    <x v="3"/>
    <n v="110"/>
    <n v="0"/>
    <n v="0"/>
  </r>
  <r>
    <x v="89"/>
    <x v="3"/>
    <n v="230"/>
    <n v="0"/>
    <n v="0"/>
  </r>
  <r>
    <x v="90"/>
    <x v="0"/>
    <n v="1"/>
    <n v="0"/>
    <n v="0"/>
  </r>
  <r>
    <x v="90"/>
    <x v="0"/>
    <n v="10"/>
    <n v="0"/>
    <n v="0"/>
  </r>
  <r>
    <x v="90"/>
    <x v="0"/>
    <n v="50"/>
    <n v="0"/>
    <n v="0"/>
  </r>
  <r>
    <x v="90"/>
    <x v="0"/>
    <n v="110"/>
    <n v="0"/>
    <n v="0"/>
  </r>
  <r>
    <x v="90"/>
    <x v="0"/>
    <n v="130"/>
    <n v="0"/>
    <n v="0"/>
  </r>
  <r>
    <x v="90"/>
    <x v="0"/>
    <n v="150"/>
    <n v="0"/>
    <n v="0"/>
  </r>
  <r>
    <x v="90"/>
    <x v="0"/>
    <n v="200"/>
    <n v="0"/>
    <n v="0"/>
  </r>
  <r>
    <x v="90"/>
    <x v="0"/>
    <n v="210"/>
    <n v="0"/>
    <n v="0"/>
  </r>
  <r>
    <x v="90"/>
    <x v="0"/>
    <n v="230"/>
    <n v="0"/>
    <n v="0"/>
  </r>
  <r>
    <x v="90"/>
    <x v="0"/>
    <n v="270"/>
    <n v="0"/>
    <n v="0"/>
  </r>
  <r>
    <x v="90"/>
    <x v="0"/>
    <n v="298"/>
    <n v="0"/>
    <n v="0"/>
  </r>
  <r>
    <x v="90"/>
    <x v="1"/>
    <n v="1"/>
    <n v="0"/>
    <n v="0"/>
  </r>
  <r>
    <x v="90"/>
    <x v="1"/>
    <n v="10"/>
    <n v="0"/>
    <n v="0"/>
  </r>
  <r>
    <x v="90"/>
    <x v="1"/>
    <n v="110"/>
    <n v="0"/>
    <n v="0"/>
  </r>
  <r>
    <x v="90"/>
    <x v="1"/>
    <n v="120"/>
    <n v="0"/>
    <n v="0"/>
  </r>
  <r>
    <x v="90"/>
    <x v="1"/>
    <n v="130"/>
    <n v="0"/>
    <n v="0"/>
  </r>
  <r>
    <x v="90"/>
    <x v="1"/>
    <n v="150"/>
    <n v="0"/>
    <n v="0"/>
  </r>
  <r>
    <x v="90"/>
    <x v="1"/>
    <n v="160"/>
    <n v="0"/>
    <n v="0"/>
  </r>
  <r>
    <x v="90"/>
    <x v="1"/>
    <n v="230"/>
    <n v="0"/>
    <n v="0"/>
  </r>
  <r>
    <x v="90"/>
    <x v="1"/>
    <n v="270"/>
    <n v="0"/>
    <n v="0"/>
  </r>
  <r>
    <x v="90"/>
    <x v="1"/>
    <n v="298"/>
    <n v="0"/>
    <n v="0"/>
  </r>
  <r>
    <x v="90"/>
    <x v="2"/>
    <n v="1"/>
    <n v="0"/>
    <n v="0"/>
  </r>
  <r>
    <x v="90"/>
    <x v="2"/>
    <n v="10"/>
    <n v="0"/>
    <n v="0"/>
  </r>
  <r>
    <x v="90"/>
    <x v="2"/>
    <n v="50"/>
    <n v="0"/>
    <n v="0"/>
  </r>
  <r>
    <x v="90"/>
    <x v="2"/>
    <n v="70"/>
    <n v="0"/>
    <n v="0"/>
  </r>
  <r>
    <x v="90"/>
    <x v="2"/>
    <n v="110"/>
    <n v="0"/>
    <n v="0"/>
  </r>
  <r>
    <x v="90"/>
    <x v="2"/>
    <n v="130"/>
    <n v="0"/>
    <n v="0"/>
  </r>
  <r>
    <x v="90"/>
    <x v="2"/>
    <n v="150"/>
    <n v="0"/>
    <n v="0"/>
  </r>
  <r>
    <x v="90"/>
    <x v="2"/>
    <n v="210"/>
    <n v="0"/>
    <n v="0"/>
  </r>
  <r>
    <x v="90"/>
    <x v="2"/>
    <n v="230"/>
    <n v="0"/>
    <n v="0"/>
  </r>
  <r>
    <x v="90"/>
    <x v="2"/>
    <n v="270"/>
    <n v="0"/>
    <n v="0"/>
  </r>
  <r>
    <x v="90"/>
    <x v="2"/>
    <n v="298"/>
    <n v="0"/>
    <n v="0"/>
  </r>
  <r>
    <x v="90"/>
    <x v="3"/>
    <n v="1"/>
    <n v="0"/>
    <n v="0"/>
  </r>
  <r>
    <x v="90"/>
    <x v="3"/>
    <n v="10"/>
    <n v="0"/>
    <n v="0"/>
  </r>
  <r>
    <x v="90"/>
    <x v="3"/>
    <n v="50"/>
    <n v="0"/>
    <n v="0"/>
  </r>
  <r>
    <x v="90"/>
    <x v="3"/>
    <n v="110"/>
    <n v="0"/>
    <n v="0"/>
  </r>
  <r>
    <x v="90"/>
    <x v="3"/>
    <n v="120"/>
    <n v="0"/>
    <n v="0"/>
  </r>
  <r>
    <x v="90"/>
    <x v="3"/>
    <n v="130"/>
    <n v="0"/>
    <n v="0"/>
  </r>
  <r>
    <x v="90"/>
    <x v="3"/>
    <n v="140"/>
    <n v="0"/>
    <n v="0"/>
  </r>
  <r>
    <x v="90"/>
    <x v="3"/>
    <n v="150"/>
    <n v="0"/>
    <n v="0"/>
  </r>
  <r>
    <x v="90"/>
    <x v="3"/>
    <n v="160"/>
    <n v="0"/>
    <n v="0"/>
  </r>
  <r>
    <x v="90"/>
    <x v="3"/>
    <n v="220"/>
    <n v="0"/>
    <n v="0"/>
  </r>
  <r>
    <x v="90"/>
    <x v="3"/>
    <n v="230"/>
    <n v="0"/>
    <n v="0"/>
  </r>
  <r>
    <x v="90"/>
    <x v="3"/>
    <n v="270"/>
    <n v="0"/>
    <n v="0"/>
  </r>
  <r>
    <x v="90"/>
    <x v="3"/>
    <n v="298"/>
    <n v="0"/>
    <n v="0"/>
  </r>
  <r>
    <x v="91"/>
    <x v="0"/>
    <n v="1"/>
    <n v="0"/>
    <n v="0"/>
  </r>
  <r>
    <x v="91"/>
    <x v="0"/>
    <n v="10"/>
    <n v="0"/>
    <n v="0"/>
  </r>
  <r>
    <x v="91"/>
    <x v="0"/>
    <n v="20"/>
    <n v="0"/>
    <n v="0"/>
  </r>
  <r>
    <x v="91"/>
    <x v="0"/>
    <n v="50"/>
    <n v="0"/>
    <n v="0"/>
  </r>
  <r>
    <x v="91"/>
    <x v="0"/>
    <n v="110"/>
    <n v="0"/>
    <n v="0"/>
  </r>
  <r>
    <x v="91"/>
    <x v="0"/>
    <n v="120"/>
    <n v="0"/>
    <n v="0"/>
  </r>
  <r>
    <x v="91"/>
    <x v="0"/>
    <n v="130"/>
    <n v="0"/>
    <n v="0"/>
  </r>
  <r>
    <x v="91"/>
    <x v="0"/>
    <n v="200"/>
    <n v="0"/>
    <n v="0"/>
  </r>
  <r>
    <x v="91"/>
    <x v="0"/>
    <n v="210"/>
    <n v="0"/>
    <n v="0"/>
  </r>
  <r>
    <x v="91"/>
    <x v="0"/>
    <n v="230"/>
    <n v="0"/>
    <n v="0"/>
  </r>
  <r>
    <x v="91"/>
    <x v="0"/>
    <n v="270"/>
    <n v="0"/>
    <n v="0"/>
  </r>
  <r>
    <x v="91"/>
    <x v="0"/>
    <n v="298"/>
    <n v="0"/>
    <n v="0"/>
  </r>
  <r>
    <x v="91"/>
    <x v="1"/>
    <n v="1"/>
    <n v="0"/>
    <n v="0"/>
  </r>
  <r>
    <x v="91"/>
    <x v="1"/>
    <n v="10"/>
    <n v="0"/>
    <n v="0"/>
  </r>
  <r>
    <x v="91"/>
    <x v="1"/>
    <n v="110"/>
    <n v="0"/>
    <n v="0"/>
  </r>
  <r>
    <x v="91"/>
    <x v="1"/>
    <n v="120"/>
    <n v="0"/>
    <n v="0"/>
  </r>
  <r>
    <x v="91"/>
    <x v="1"/>
    <n v="130"/>
    <n v="0"/>
    <n v="0"/>
  </r>
  <r>
    <x v="91"/>
    <x v="1"/>
    <n v="150"/>
    <n v="0"/>
    <n v="0"/>
  </r>
  <r>
    <x v="91"/>
    <x v="1"/>
    <n v="210"/>
    <n v="0"/>
    <n v="0"/>
  </r>
  <r>
    <x v="91"/>
    <x v="1"/>
    <n v="230"/>
    <n v="0"/>
    <n v="0"/>
  </r>
  <r>
    <x v="91"/>
    <x v="1"/>
    <n v="270"/>
    <n v="0"/>
    <n v="0"/>
  </r>
  <r>
    <x v="91"/>
    <x v="1"/>
    <n v="298"/>
    <n v="0"/>
    <n v="0"/>
  </r>
  <r>
    <x v="91"/>
    <x v="2"/>
    <n v="1"/>
    <n v="0"/>
    <n v="0"/>
  </r>
  <r>
    <x v="91"/>
    <x v="2"/>
    <n v="10"/>
    <n v="0"/>
    <n v="0"/>
  </r>
  <r>
    <x v="91"/>
    <x v="2"/>
    <n v="50"/>
    <n v="0"/>
    <n v="0"/>
  </r>
  <r>
    <x v="91"/>
    <x v="2"/>
    <n v="110"/>
    <n v="0"/>
    <n v="0"/>
  </r>
  <r>
    <x v="91"/>
    <x v="2"/>
    <n v="130"/>
    <n v="0"/>
    <n v="0"/>
  </r>
  <r>
    <x v="91"/>
    <x v="2"/>
    <n v="210"/>
    <n v="0"/>
    <n v="0"/>
  </r>
  <r>
    <x v="91"/>
    <x v="2"/>
    <n v="220"/>
    <n v="0"/>
    <n v="0"/>
  </r>
  <r>
    <x v="91"/>
    <x v="2"/>
    <n v="230"/>
    <n v="0"/>
    <n v="0"/>
  </r>
  <r>
    <x v="91"/>
    <x v="2"/>
    <n v="270"/>
    <n v="0"/>
    <n v="0"/>
  </r>
  <r>
    <x v="91"/>
    <x v="2"/>
    <n v="298"/>
    <n v="0"/>
    <n v="0"/>
  </r>
  <r>
    <x v="91"/>
    <x v="3"/>
    <n v="1"/>
    <n v="0"/>
    <n v="0"/>
  </r>
  <r>
    <x v="91"/>
    <x v="3"/>
    <n v="10"/>
    <n v="0"/>
    <n v="0"/>
  </r>
  <r>
    <x v="91"/>
    <x v="3"/>
    <n v="50"/>
    <n v="0"/>
    <n v="0"/>
  </r>
  <r>
    <x v="91"/>
    <x v="3"/>
    <n v="110"/>
    <n v="0"/>
    <n v="0"/>
  </r>
  <r>
    <x v="91"/>
    <x v="3"/>
    <n v="120"/>
    <n v="0"/>
    <n v="0"/>
  </r>
  <r>
    <x v="91"/>
    <x v="3"/>
    <n v="130"/>
    <n v="0"/>
    <n v="0"/>
  </r>
  <r>
    <x v="91"/>
    <x v="3"/>
    <n v="140"/>
    <n v="0"/>
    <n v="0"/>
  </r>
  <r>
    <x v="91"/>
    <x v="3"/>
    <n v="210"/>
    <n v="0"/>
    <n v="0"/>
  </r>
  <r>
    <x v="91"/>
    <x v="3"/>
    <n v="230"/>
    <n v="0"/>
    <n v="0"/>
  </r>
  <r>
    <x v="91"/>
    <x v="3"/>
    <n v="270"/>
    <n v="0"/>
    <n v="0"/>
  </r>
  <r>
    <x v="91"/>
    <x v="3"/>
    <n v="298"/>
    <n v="0"/>
    <n v="0"/>
  </r>
  <r>
    <x v="92"/>
    <x v="0"/>
    <n v="1"/>
    <n v="0"/>
    <n v="0"/>
  </r>
  <r>
    <x v="92"/>
    <x v="0"/>
    <n v="10"/>
    <n v="0"/>
    <n v="0"/>
  </r>
  <r>
    <x v="92"/>
    <x v="0"/>
    <n v="110"/>
    <n v="0"/>
    <n v="0"/>
  </r>
  <r>
    <x v="92"/>
    <x v="0"/>
    <n v="120"/>
    <n v="0"/>
    <n v="0"/>
  </r>
  <r>
    <x v="92"/>
    <x v="0"/>
    <n v="130"/>
    <n v="0"/>
    <n v="0"/>
  </r>
  <r>
    <x v="92"/>
    <x v="0"/>
    <n v="200"/>
    <n v="0"/>
    <n v="0"/>
  </r>
  <r>
    <x v="92"/>
    <x v="0"/>
    <n v="210"/>
    <n v="0"/>
    <n v="0"/>
  </r>
  <r>
    <x v="92"/>
    <x v="0"/>
    <n v="230"/>
    <n v="0"/>
    <n v="0"/>
  </r>
  <r>
    <x v="92"/>
    <x v="0"/>
    <n v="270"/>
    <n v="0"/>
    <n v="0"/>
  </r>
  <r>
    <x v="92"/>
    <x v="0"/>
    <n v="298"/>
    <n v="0"/>
    <n v="0"/>
  </r>
  <r>
    <x v="92"/>
    <x v="1"/>
    <n v="1"/>
    <n v="0"/>
    <n v="0"/>
  </r>
  <r>
    <x v="92"/>
    <x v="1"/>
    <n v="10"/>
    <n v="0"/>
    <n v="0"/>
  </r>
  <r>
    <x v="92"/>
    <x v="1"/>
    <n v="110"/>
    <n v="0"/>
    <n v="0"/>
  </r>
  <r>
    <x v="92"/>
    <x v="1"/>
    <n v="130"/>
    <n v="0"/>
    <n v="0"/>
  </r>
  <r>
    <x v="92"/>
    <x v="1"/>
    <n v="230"/>
    <n v="0"/>
    <n v="0"/>
  </r>
  <r>
    <x v="92"/>
    <x v="1"/>
    <n v="270"/>
    <n v="0"/>
    <n v="0"/>
  </r>
  <r>
    <x v="92"/>
    <x v="1"/>
    <n v="298"/>
    <n v="0"/>
    <n v="0"/>
  </r>
  <r>
    <x v="92"/>
    <x v="2"/>
    <n v="1"/>
    <n v="0"/>
    <n v="0"/>
  </r>
  <r>
    <x v="92"/>
    <x v="2"/>
    <n v="10"/>
    <n v="0"/>
    <n v="0"/>
  </r>
  <r>
    <x v="92"/>
    <x v="2"/>
    <n v="20"/>
    <n v="0"/>
    <n v="0"/>
  </r>
  <r>
    <x v="92"/>
    <x v="2"/>
    <n v="110"/>
    <n v="0"/>
    <n v="0"/>
  </r>
  <r>
    <x v="92"/>
    <x v="2"/>
    <n v="130"/>
    <n v="0"/>
    <n v="0"/>
  </r>
  <r>
    <x v="92"/>
    <x v="2"/>
    <n v="140"/>
    <n v="0"/>
    <n v="0"/>
  </r>
  <r>
    <x v="92"/>
    <x v="2"/>
    <n v="210"/>
    <n v="0"/>
    <n v="0"/>
  </r>
  <r>
    <x v="92"/>
    <x v="2"/>
    <n v="230"/>
    <n v="0"/>
    <n v="0"/>
  </r>
  <r>
    <x v="92"/>
    <x v="2"/>
    <n v="270"/>
    <n v="0"/>
    <n v="0"/>
  </r>
  <r>
    <x v="92"/>
    <x v="2"/>
    <n v="298"/>
    <n v="0"/>
    <n v="0"/>
  </r>
  <r>
    <x v="92"/>
    <x v="3"/>
    <n v="1"/>
    <n v="0"/>
    <n v="0"/>
  </r>
  <r>
    <x v="92"/>
    <x v="3"/>
    <n v="10"/>
    <n v="0"/>
    <n v="0"/>
  </r>
  <r>
    <x v="92"/>
    <x v="3"/>
    <n v="130"/>
    <n v="0"/>
    <n v="0"/>
  </r>
  <r>
    <x v="92"/>
    <x v="3"/>
    <n v="140"/>
    <n v="0"/>
    <n v="0"/>
  </r>
  <r>
    <x v="92"/>
    <x v="3"/>
    <n v="210"/>
    <n v="0"/>
    <n v="0"/>
  </r>
  <r>
    <x v="92"/>
    <x v="3"/>
    <n v="230"/>
    <n v="0"/>
    <n v="0"/>
  </r>
  <r>
    <x v="92"/>
    <x v="3"/>
    <n v="270"/>
    <n v="0"/>
    <n v="0"/>
  </r>
  <r>
    <x v="92"/>
    <x v="3"/>
    <n v="298"/>
    <n v="0"/>
    <n v="0"/>
  </r>
  <r>
    <x v="93"/>
    <x v="0"/>
    <n v="1"/>
    <n v="0"/>
    <n v="0"/>
  </r>
  <r>
    <x v="93"/>
    <x v="0"/>
    <n v="10"/>
    <n v="0"/>
    <n v="0"/>
  </r>
  <r>
    <x v="93"/>
    <x v="0"/>
    <n v="20"/>
    <n v="0"/>
    <n v="0"/>
  </r>
  <r>
    <x v="93"/>
    <x v="0"/>
    <n v="110"/>
    <n v="0"/>
    <n v="0"/>
  </r>
  <r>
    <x v="93"/>
    <x v="0"/>
    <n v="120"/>
    <n v="0"/>
    <n v="0"/>
  </r>
  <r>
    <x v="93"/>
    <x v="0"/>
    <n v="130"/>
    <n v="0"/>
    <n v="0"/>
  </r>
  <r>
    <x v="93"/>
    <x v="0"/>
    <n v="140"/>
    <n v="0"/>
    <n v="0"/>
  </r>
  <r>
    <x v="93"/>
    <x v="0"/>
    <n v="200"/>
    <n v="0"/>
    <n v="0"/>
  </r>
  <r>
    <x v="93"/>
    <x v="0"/>
    <n v="210"/>
    <n v="0"/>
    <n v="0"/>
  </r>
  <r>
    <x v="93"/>
    <x v="0"/>
    <n v="270"/>
    <n v="0"/>
    <n v="0"/>
  </r>
  <r>
    <x v="93"/>
    <x v="0"/>
    <n v="298"/>
    <n v="0"/>
    <n v="0"/>
  </r>
  <r>
    <x v="93"/>
    <x v="1"/>
    <n v="1"/>
    <n v="0"/>
    <n v="0"/>
  </r>
  <r>
    <x v="93"/>
    <x v="1"/>
    <n v="10"/>
    <n v="0"/>
    <n v="0"/>
  </r>
  <r>
    <x v="93"/>
    <x v="1"/>
    <n v="20"/>
    <n v="0"/>
    <n v="0"/>
  </r>
  <r>
    <x v="93"/>
    <x v="1"/>
    <n v="110"/>
    <n v="0"/>
    <n v="0"/>
  </r>
  <r>
    <x v="93"/>
    <x v="1"/>
    <n v="120"/>
    <n v="0"/>
    <n v="0"/>
  </r>
  <r>
    <x v="93"/>
    <x v="1"/>
    <n v="130"/>
    <n v="0"/>
    <n v="0"/>
  </r>
  <r>
    <x v="93"/>
    <x v="1"/>
    <n v="230"/>
    <n v="0"/>
    <n v="0"/>
  </r>
  <r>
    <x v="93"/>
    <x v="1"/>
    <n v="270"/>
    <n v="0"/>
    <n v="0"/>
  </r>
  <r>
    <x v="93"/>
    <x v="1"/>
    <n v="298"/>
    <n v="0"/>
    <n v="0"/>
  </r>
  <r>
    <x v="93"/>
    <x v="2"/>
    <n v="1"/>
    <n v="0"/>
    <n v="0"/>
  </r>
  <r>
    <x v="93"/>
    <x v="2"/>
    <n v="10"/>
    <n v="0"/>
    <n v="0"/>
  </r>
  <r>
    <x v="93"/>
    <x v="2"/>
    <n v="110"/>
    <n v="0"/>
    <n v="0"/>
  </r>
  <r>
    <x v="93"/>
    <x v="2"/>
    <n v="130"/>
    <n v="0"/>
    <n v="0"/>
  </r>
  <r>
    <x v="93"/>
    <x v="2"/>
    <n v="140"/>
    <n v="0"/>
    <n v="0"/>
  </r>
  <r>
    <x v="93"/>
    <x v="2"/>
    <n v="210"/>
    <n v="0"/>
    <n v="0"/>
  </r>
  <r>
    <x v="93"/>
    <x v="2"/>
    <n v="220"/>
    <n v="0"/>
    <n v="0"/>
  </r>
  <r>
    <x v="93"/>
    <x v="2"/>
    <n v="230"/>
    <n v="0"/>
    <n v="0"/>
  </r>
  <r>
    <x v="93"/>
    <x v="2"/>
    <n v="270"/>
    <n v="0"/>
    <n v="0"/>
  </r>
  <r>
    <x v="93"/>
    <x v="2"/>
    <n v="298"/>
    <n v="0"/>
    <n v="0"/>
  </r>
  <r>
    <x v="93"/>
    <x v="3"/>
    <n v="1"/>
    <n v="0"/>
    <n v="0"/>
  </r>
  <r>
    <x v="93"/>
    <x v="3"/>
    <n v="10"/>
    <n v="0"/>
    <n v="0"/>
  </r>
  <r>
    <x v="93"/>
    <x v="3"/>
    <n v="110"/>
    <n v="0"/>
    <n v="0"/>
  </r>
  <r>
    <x v="93"/>
    <x v="3"/>
    <n v="120"/>
    <n v="0"/>
    <n v="0"/>
  </r>
  <r>
    <x v="93"/>
    <x v="3"/>
    <n v="130"/>
    <n v="0"/>
    <n v="0"/>
  </r>
  <r>
    <x v="93"/>
    <x v="3"/>
    <n v="140"/>
    <n v="0"/>
    <n v="0"/>
  </r>
  <r>
    <x v="93"/>
    <x v="3"/>
    <n v="210"/>
    <n v="0"/>
    <n v="0"/>
  </r>
  <r>
    <x v="93"/>
    <x v="3"/>
    <n v="230"/>
    <n v="0"/>
    <n v="0"/>
  </r>
  <r>
    <x v="93"/>
    <x v="3"/>
    <n v="270"/>
    <n v="0"/>
    <n v="0"/>
  </r>
  <r>
    <x v="93"/>
    <x v="3"/>
    <n v="298"/>
    <n v="0"/>
    <n v="0"/>
  </r>
  <r>
    <x v="94"/>
    <x v="0"/>
    <n v="10"/>
    <n v="0"/>
    <n v="0"/>
  </r>
  <r>
    <x v="95"/>
    <x v="0"/>
    <n v="10"/>
    <n v="0"/>
    <n v="0"/>
  </r>
  <r>
    <x v="95"/>
    <x v="1"/>
    <n v="110"/>
    <n v="0"/>
    <n v="0"/>
  </r>
  <r>
    <x v="96"/>
    <x v="0"/>
    <n v="100"/>
    <n v="0"/>
    <n v="0"/>
  </r>
  <r>
    <x v="97"/>
    <x v="2"/>
    <n v="110"/>
    <n v="0"/>
    <n v="0"/>
  </r>
  <r>
    <x v="98"/>
    <x v="3"/>
    <n v="230"/>
    <n v="0"/>
    <n v="0"/>
  </r>
  <r>
    <x v="99"/>
    <x v="5"/>
    <n v="30729.14"/>
    <s v="Milo"/>
    <n v="2274"/>
  </r>
  <r>
    <x v="100"/>
    <x v="6"/>
    <n v="951.79"/>
    <s v="Milo"/>
    <n v="3402"/>
  </r>
  <r>
    <x v="101"/>
    <x v="7"/>
    <n v="51629.96"/>
    <s v="Milo"/>
    <n v="267814"/>
  </r>
  <r>
    <x v="101"/>
    <x v="7"/>
    <n v="101131.45"/>
    <s v="Milo"/>
    <n v="267851"/>
  </r>
  <r>
    <x v="102"/>
    <x v="8"/>
    <n v="96246.29"/>
    <s v="Milo"/>
    <s v="3419 (CHS #705852)"/>
  </r>
  <r>
    <x v="103"/>
    <x v="9"/>
    <n v="49400.27"/>
    <s v="Milo"/>
    <n v="3420"/>
  </r>
  <r>
    <x v="104"/>
    <x v="10"/>
    <n v="9448.61"/>
    <s v="Milo"/>
    <n v="3431"/>
  </r>
  <r>
    <x v="105"/>
    <x v="11"/>
    <n v="2750"/>
    <s v="Milo"/>
    <n v="3512"/>
  </r>
  <r>
    <x v="106"/>
    <x v="12"/>
    <n v="10000"/>
    <s v="Milo"/>
    <n v="3466"/>
  </r>
  <r>
    <x v="107"/>
    <x v="13"/>
    <m/>
    <m/>
    <m/>
  </r>
  <r>
    <x v="108"/>
    <x v="13"/>
    <m/>
    <m/>
    <m/>
  </r>
  <r>
    <x v="109"/>
    <x v="14"/>
    <n v="5239.68"/>
    <s v="Milo"/>
    <n v="3465"/>
  </r>
  <r>
    <x v="107"/>
    <x v="13"/>
    <m/>
    <m/>
    <m/>
  </r>
  <r>
    <x v="107"/>
    <x v="13"/>
    <m/>
    <m/>
    <m/>
  </r>
  <r>
    <x v="110"/>
    <x v="15"/>
    <n v="23131.43"/>
    <s v="Milo"/>
    <n v="3418"/>
  </r>
  <r>
    <x v="107"/>
    <x v="13"/>
    <m/>
    <m/>
    <m/>
  </r>
  <r>
    <x v="107"/>
    <x v="13"/>
    <m/>
    <m/>
    <m/>
  </r>
  <r>
    <x v="107"/>
    <x v="16"/>
    <n v="385555.62"/>
    <m/>
    <m/>
  </r>
  <r>
    <x v="98"/>
    <x v="3"/>
    <n v="230"/>
    <n v="0"/>
    <n v="0"/>
  </r>
  <r>
    <x v="111"/>
    <x v="17"/>
    <s v="Alta Vista"/>
    <n v="294"/>
    <s v="MKC (N)"/>
  </r>
  <r>
    <x v="111"/>
    <x v="17"/>
    <s v="Alta Vista"/>
    <n v="294"/>
    <s v="Jantz"/>
  </r>
  <r>
    <x v="98"/>
    <x v="3"/>
    <n v="23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80">
  <r>
    <x v="0"/>
    <x v="0"/>
    <n v="1000"/>
    <n v="82467050"/>
  </r>
  <r>
    <x v="0"/>
    <x v="0"/>
    <n v="1010"/>
    <n v="0"/>
  </r>
  <r>
    <x v="0"/>
    <x v="0"/>
    <n v="1080"/>
    <n v="73800000"/>
  </r>
  <r>
    <x v="0"/>
    <x v="0"/>
    <n v="1098"/>
    <n v="0"/>
  </r>
  <r>
    <x v="1"/>
    <x v="0"/>
    <n v="1000"/>
    <n v="9856371"/>
  </r>
  <r>
    <x v="1"/>
    <x v="0"/>
    <n v="1010"/>
    <n v="0"/>
  </r>
  <r>
    <x v="1"/>
    <x v="0"/>
    <n v="1098"/>
    <n v="0"/>
  </r>
  <r>
    <x v="2"/>
    <x v="0"/>
    <n v="1000"/>
    <n v="0"/>
  </r>
  <r>
    <x v="2"/>
    <x v="0"/>
    <n v="1098"/>
    <n v="0"/>
  </r>
  <r>
    <x v="3"/>
    <x v="0"/>
    <n v="1000"/>
    <n v="0"/>
  </r>
  <r>
    <x v="3"/>
    <x v="0"/>
    <n v="1098"/>
    <n v="0"/>
  </r>
  <r>
    <x v="4"/>
    <x v="0"/>
    <n v="1000"/>
    <n v="0"/>
  </r>
  <r>
    <x v="5"/>
    <x v="0"/>
    <n v="1000"/>
    <n v="0"/>
  </r>
  <r>
    <x v="6"/>
    <x v="0"/>
    <n v="1000"/>
    <n v="0"/>
  </r>
  <r>
    <x v="6"/>
    <x v="0"/>
    <n v="1098"/>
    <n v="0"/>
  </r>
  <r>
    <x v="7"/>
    <x v="0"/>
    <n v="1000"/>
    <n v="333"/>
  </r>
  <r>
    <x v="7"/>
    <x v="0"/>
    <n v="1098"/>
    <n v="0"/>
  </r>
  <r>
    <x v="8"/>
    <x v="0"/>
    <n v="1000"/>
    <n v="0"/>
  </r>
  <r>
    <x v="8"/>
    <x v="0"/>
    <n v="1080"/>
    <n v="0"/>
  </r>
  <r>
    <x v="8"/>
    <x v="0"/>
    <n v="1098"/>
    <n v="0"/>
  </r>
  <r>
    <x v="9"/>
    <x v="0"/>
    <n v="1000"/>
    <n v="17586"/>
  </r>
  <r>
    <x v="9"/>
    <x v="0"/>
    <n v="1098"/>
    <n v="0"/>
  </r>
  <r>
    <x v="10"/>
    <x v="0"/>
    <n v="1000"/>
    <n v="0"/>
  </r>
  <r>
    <x v="10"/>
    <x v="0"/>
    <n v="1098"/>
    <n v="0"/>
  </r>
  <r>
    <x v="11"/>
    <x v="0"/>
    <n v="1000"/>
    <n v="0"/>
  </r>
  <r>
    <x v="11"/>
    <x v="0"/>
    <n v="1098"/>
    <n v="0"/>
  </r>
  <r>
    <x v="12"/>
    <x v="0"/>
    <n v="1000"/>
    <n v="0"/>
  </r>
  <r>
    <x v="12"/>
    <x v="0"/>
    <n v="1098"/>
    <n v="0"/>
  </r>
  <r>
    <x v="13"/>
    <x v="0"/>
    <n v="1000"/>
    <n v="958694"/>
  </r>
  <r>
    <x v="13"/>
    <x v="0"/>
    <n v="1098"/>
    <n v="0"/>
  </r>
  <r>
    <x v="14"/>
    <x v="0"/>
    <n v="1000"/>
    <n v="0"/>
  </r>
  <r>
    <x v="15"/>
    <x v="0"/>
    <n v="1000"/>
    <n v="0"/>
  </r>
  <r>
    <x v="16"/>
    <x v="0"/>
    <n v="1000"/>
    <n v="0"/>
  </r>
  <r>
    <x v="16"/>
    <x v="0"/>
    <n v="1098"/>
    <n v="0"/>
  </r>
  <r>
    <x v="17"/>
    <x v="0"/>
    <n v="1000"/>
    <n v="0"/>
  </r>
  <r>
    <x v="17"/>
    <x v="0"/>
    <n v="1010"/>
    <n v="0"/>
  </r>
  <r>
    <x v="17"/>
    <x v="0"/>
    <n v="1098"/>
    <n v="0"/>
  </r>
  <r>
    <x v="18"/>
    <x v="0"/>
    <n v="1000"/>
    <n v="0"/>
  </r>
  <r>
    <x v="18"/>
    <x v="0"/>
    <n v="1010"/>
    <n v="0"/>
  </r>
  <r>
    <x v="19"/>
    <x v="0"/>
    <n v="1000"/>
    <n v="0"/>
  </r>
  <r>
    <x v="19"/>
    <x v="0"/>
    <n v="1098"/>
    <n v="0"/>
  </r>
  <r>
    <x v="20"/>
    <x v="0"/>
    <n v="1000"/>
    <n v="0"/>
  </r>
  <r>
    <x v="20"/>
    <x v="0"/>
    <n v="1010"/>
    <n v="0"/>
  </r>
  <r>
    <x v="20"/>
    <x v="0"/>
    <n v="1098"/>
    <n v="0"/>
  </r>
  <r>
    <x v="21"/>
    <x v="0"/>
    <n v="1000"/>
    <n v="0"/>
  </r>
  <r>
    <x v="22"/>
    <x v="0"/>
    <n v="1000"/>
    <n v="0"/>
  </r>
  <r>
    <x v="23"/>
    <x v="0"/>
    <n v="1000"/>
    <n v="0"/>
  </r>
  <r>
    <x v="23"/>
    <x v="0"/>
    <n v="1098"/>
    <n v="0"/>
  </r>
  <r>
    <x v="24"/>
    <x v="0"/>
    <n v="1000"/>
    <n v="0"/>
  </r>
  <r>
    <x v="24"/>
    <x v="0"/>
    <n v="1098"/>
    <n v="0"/>
  </r>
  <r>
    <x v="25"/>
    <x v="0"/>
    <n v="1000"/>
    <n v="0"/>
  </r>
  <r>
    <x v="25"/>
    <x v="0"/>
    <n v="1010"/>
    <n v="0"/>
  </r>
  <r>
    <x v="25"/>
    <x v="0"/>
    <n v="1080"/>
    <n v="0"/>
  </r>
  <r>
    <x v="25"/>
    <x v="0"/>
    <n v="1098"/>
    <n v="0"/>
  </r>
  <r>
    <x v="26"/>
    <x v="0"/>
    <n v="1000"/>
    <n v="0"/>
  </r>
  <r>
    <x v="26"/>
    <x v="0"/>
    <n v="1010"/>
    <n v="0"/>
  </r>
  <r>
    <x v="26"/>
    <x v="0"/>
    <n v="1080"/>
    <n v="0"/>
  </r>
  <r>
    <x v="26"/>
    <x v="0"/>
    <n v="1098"/>
    <n v="0"/>
  </r>
  <r>
    <x v="27"/>
    <x v="0"/>
    <n v="1000"/>
    <n v="0"/>
  </r>
  <r>
    <x v="27"/>
    <x v="0"/>
    <n v="1098"/>
    <n v="0"/>
  </r>
  <r>
    <x v="28"/>
    <x v="0"/>
    <n v="1000"/>
    <n v="154632"/>
  </r>
  <r>
    <x v="28"/>
    <x v="0"/>
    <n v="1010"/>
    <n v="0"/>
  </r>
  <r>
    <x v="28"/>
    <x v="0"/>
    <n v="1080"/>
    <n v="0"/>
  </r>
  <r>
    <x v="28"/>
    <x v="0"/>
    <n v="1098"/>
    <n v="0"/>
  </r>
  <r>
    <x v="29"/>
    <x v="0"/>
    <n v="1000"/>
    <n v="0"/>
  </r>
  <r>
    <x v="29"/>
    <x v="0"/>
    <n v="1080"/>
    <n v="0"/>
  </r>
  <r>
    <x v="29"/>
    <x v="0"/>
    <n v="1098"/>
    <n v="0"/>
  </r>
  <r>
    <x v="30"/>
    <x v="0"/>
    <n v="1000"/>
    <n v="0"/>
  </r>
  <r>
    <x v="30"/>
    <x v="0"/>
    <n v="1010"/>
    <n v="0"/>
  </r>
  <r>
    <x v="31"/>
    <x v="0"/>
    <n v="1000"/>
    <n v="0"/>
  </r>
  <r>
    <x v="32"/>
    <x v="0"/>
    <n v="1000"/>
    <n v="0"/>
  </r>
  <r>
    <x v="33"/>
    <x v="0"/>
    <n v="1010"/>
    <n v="0"/>
  </r>
  <r>
    <x v="34"/>
    <x v="0"/>
    <n v="1000"/>
    <n v="194607"/>
  </r>
  <r>
    <x v="34"/>
    <x v="0"/>
    <n v="1098"/>
    <n v="0"/>
  </r>
  <r>
    <x v="35"/>
    <x v="0"/>
    <n v="1000"/>
    <n v="-20736"/>
  </r>
  <r>
    <x v="35"/>
    <x v="0"/>
    <n v="1098"/>
    <n v="0"/>
  </r>
  <r>
    <x v="36"/>
    <x v="0"/>
    <n v="1000"/>
    <n v="0"/>
  </r>
  <r>
    <x v="37"/>
    <x v="0"/>
    <n v="1000"/>
    <n v="0"/>
  </r>
  <r>
    <x v="37"/>
    <x v="0"/>
    <n v="1098"/>
    <n v="0"/>
  </r>
  <r>
    <x v="38"/>
    <x v="0"/>
    <n v="1000"/>
    <n v="0"/>
  </r>
  <r>
    <x v="38"/>
    <x v="0"/>
    <n v="1098"/>
    <n v="0"/>
  </r>
  <r>
    <x v="39"/>
    <x v="0"/>
    <n v="1000"/>
    <n v="0"/>
  </r>
  <r>
    <x v="40"/>
    <x v="0"/>
    <n v="1000"/>
    <n v="0"/>
  </r>
  <r>
    <x v="41"/>
    <x v="0"/>
    <n v="1000"/>
    <n v="0"/>
  </r>
  <r>
    <x v="41"/>
    <x v="0"/>
    <n v="1098"/>
    <n v="0"/>
  </r>
  <r>
    <x v="42"/>
    <x v="0"/>
    <n v="1000"/>
    <n v="0"/>
  </r>
  <r>
    <x v="42"/>
    <x v="0"/>
    <n v="1098"/>
    <n v="0"/>
  </r>
  <r>
    <x v="43"/>
    <x v="0"/>
    <n v="1000"/>
    <n v="0"/>
  </r>
  <r>
    <x v="44"/>
    <x v="0"/>
    <n v="1000"/>
    <n v="0"/>
  </r>
  <r>
    <x v="45"/>
    <x v="0"/>
    <n v="1000"/>
    <n v="0"/>
  </r>
  <r>
    <x v="45"/>
    <x v="0"/>
    <n v="1098"/>
    <n v="0"/>
  </r>
  <r>
    <x v="46"/>
    <x v="0"/>
    <n v="1000"/>
    <n v="0"/>
  </r>
  <r>
    <x v="46"/>
    <x v="0"/>
    <n v="1080"/>
    <n v="0"/>
  </r>
  <r>
    <x v="47"/>
    <x v="0"/>
    <n v="1000"/>
    <n v="0"/>
  </r>
  <r>
    <x v="48"/>
    <x v="0"/>
    <n v="1000"/>
    <n v="0"/>
  </r>
  <r>
    <x v="49"/>
    <x v="0"/>
    <n v="1000"/>
    <n v="0"/>
  </r>
  <r>
    <x v="50"/>
    <x v="0"/>
    <n v="1000"/>
    <n v="0"/>
  </r>
  <r>
    <x v="50"/>
    <x v="0"/>
    <n v="1010"/>
    <n v="0"/>
  </r>
  <r>
    <x v="50"/>
    <x v="0"/>
    <n v="1098"/>
    <n v="0"/>
  </r>
  <r>
    <x v="51"/>
    <x v="0"/>
    <n v="1000"/>
    <n v="0"/>
  </r>
  <r>
    <x v="51"/>
    <x v="0"/>
    <n v="1098"/>
    <n v="0"/>
  </r>
  <r>
    <x v="52"/>
    <x v="0"/>
    <n v="1000"/>
    <n v="0"/>
  </r>
  <r>
    <x v="53"/>
    <x v="0"/>
    <n v="1000"/>
    <n v="0"/>
  </r>
  <r>
    <x v="53"/>
    <x v="0"/>
    <n v="1010"/>
    <n v="0"/>
  </r>
  <r>
    <x v="53"/>
    <x v="0"/>
    <n v="1098"/>
    <n v="0"/>
  </r>
  <r>
    <x v="54"/>
    <x v="0"/>
    <n v="1000"/>
    <n v="10308"/>
  </r>
  <r>
    <x v="54"/>
    <x v="0"/>
    <n v="1098"/>
    <n v="0"/>
  </r>
  <r>
    <x v="55"/>
    <x v="0"/>
    <n v="1000"/>
    <n v="0"/>
  </r>
  <r>
    <x v="56"/>
    <x v="0"/>
    <n v="1000"/>
    <n v="0"/>
  </r>
  <r>
    <x v="56"/>
    <x v="0"/>
    <n v="1098"/>
    <n v="0"/>
  </r>
  <r>
    <x v="57"/>
    <x v="0"/>
    <n v="1000"/>
    <n v="0"/>
  </r>
  <r>
    <x v="58"/>
    <x v="0"/>
    <n v="1000"/>
    <n v="0"/>
  </r>
  <r>
    <x v="58"/>
    <x v="0"/>
    <n v="1098"/>
    <n v="0"/>
  </r>
  <r>
    <x v="59"/>
    <x v="0"/>
    <n v="1000"/>
    <n v="0"/>
  </r>
  <r>
    <x v="60"/>
    <x v="0"/>
    <n v="1000"/>
    <n v="0"/>
  </r>
  <r>
    <x v="61"/>
    <x v="0"/>
    <n v="1000"/>
    <n v="1802320"/>
  </r>
  <r>
    <x v="61"/>
    <x v="0"/>
    <n v="1098"/>
    <n v="0"/>
  </r>
  <r>
    <x v="62"/>
    <x v="0"/>
    <n v="1000"/>
    <n v="0"/>
  </r>
  <r>
    <x v="63"/>
    <x v="0"/>
    <n v="1000"/>
    <n v="0"/>
  </r>
  <r>
    <x v="64"/>
    <x v="0"/>
    <n v="1000"/>
    <n v="0"/>
  </r>
  <r>
    <x v="64"/>
    <x v="0"/>
    <n v="1098"/>
    <n v="0"/>
  </r>
  <r>
    <x v="65"/>
    <x v="0"/>
    <n v="1000"/>
    <n v="0"/>
  </r>
  <r>
    <x v="66"/>
    <x v="0"/>
    <n v="1000"/>
    <n v="0"/>
  </r>
  <r>
    <x v="67"/>
    <x v="0"/>
    <n v="1000"/>
    <n v="1175473"/>
  </r>
  <r>
    <x v="68"/>
    <x v="0"/>
    <n v="1000"/>
    <n v="7692"/>
  </r>
  <r>
    <x v="69"/>
    <x v="0"/>
    <n v="1000"/>
    <n v="0"/>
  </r>
  <r>
    <x v="70"/>
    <x v="0"/>
    <n v="1000"/>
    <n v="0"/>
  </r>
  <r>
    <x v="71"/>
    <x v="0"/>
    <n v="1000"/>
    <n v="0"/>
  </r>
  <r>
    <x v="72"/>
    <x v="0"/>
    <n v="1000"/>
    <n v="0"/>
  </r>
  <r>
    <x v="73"/>
    <x v="0"/>
    <n v="1000"/>
    <n v="0"/>
  </r>
  <r>
    <x v="74"/>
    <x v="0"/>
    <n v="1000"/>
    <n v="0"/>
  </r>
  <r>
    <x v="75"/>
    <x v="0"/>
    <n v="1000"/>
    <n v="0"/>
  </r>
  <r>
    <x v="76"/>
    <x v="0"/>
    <n v="1000"/>
    <n v="0"/>
  </r>
  <r>
    <x v="76"/>
    <x v="0"/>
    <n v="1080"/>
    <n v="168000000"/>
  </r>
  <r>
    <x v="77"/>
    <x v="0"/>
    <n v="1000"/>
    <n v="0"/>
  </r>
  <r>
    <x v="78"/>
    <x v="0"/>
    <n v="1000"/>
    <n v="0"/>
  </r>
  <r>
    <x v="78"/>
    <x v="0"/>
    <n v="1010"/>
    <n v="0"/>
  </r>
  <r>
    <x v="79"/>
    <x v="0"/>
    <n v="1000"/>
    <n v="0"/>
  </r>
  <r>
    <x v="80"/>
    <x v="0"/>
    <n v="1000"/>
    <n v="0"/>
  </r>
  <r>
    <x v="81"/>
    <x v="0"/>
    <n v="1000"/>
    <n v="0"/>
  </r>
  <r>
    <x v="82"/>
    <x v="0"/>
    <n v="1000"/>
    <n v="0"/>
  </r>
  <r>
    <x v="83"/>
    <x v="0"/>
    <n v="1000"/>
    <n v="0"/>
  </r>
  <r>
    <x v="84"/>
    <x v="0"/>
    <n v="1000"/>
    <n v="0"/>
  </r>
  <r>
    <x v="85"/>
    <x v="0"/>
    <n v="1000"/>
    <n v="0"/>
  </r>
  <r>
    <x v="86"/>
    <x v="0"/>
    <n v="1000"/>
    <n v="0"/>
  </r>
  <r>
    <x v="87"/>
    <x v="0"/>
    <n v="1000"/>
    <n v="0"/>
  </r>
  <r>
    <x v="88"/>
    <x v="0"/>
    <n v="1000"/>
    <n v="0"/>
  </r>
  <r>
    <x v="89"/>
    <x v="0"/>
    <n v="1000"/>
    <n v="0"/>
  </r>
  <r>
    <x v="90"/>
    <x v="0"/>
    <n v="1000"/>
    <n v="0"/>
  </r>
  <r>
    <x v="91"/>
    <x v="0"/>
    <n v="1000"/>
    <n v="0"/>
  </r>
  <r>
    <x v="0"/>
    <x v="1"/>
    <n v="1000"/>
    <n v="5040000"/>
  </r>
  <r>
    <x v="0"/>
    <x v="1"/>
    <n v="1080"/>
    <n v="78400000"/>
  </r>
  <r>
    <x v="0"/>
    <x v="1"/>
    <n v="1098"/>
    <n v="0"/>
  </r>
  <r>
    <x v="92"/>
    <x v="1"/>
    <n v="1000"/>
    <n v="0"/>
  </r>
  <r>
    <x v="1"/>
    <x v="1"/>
    <n v="1000"/>
    <n v="0"/>
  </r>
  <r>
    <x v="1"/>
    <x v="1"/>
    <n v="1098"/>
    <n v="0"/>
  </r>
  <r>
    <x v="2"/>
    <x v="1"/>
    <n v="1000"/>
    <n v="0"/>
  </r>
  <r>
    <x v="2"/>
    <x v="1"/>
    <n v="1098"/>
    <n v="0"/>
  </r>
  <r>
    <x v="3"/>
    <x v="1"/>
    <n v="1000"/>
    <n v="0"/>
  </r>
  <r>
    <x v="3"/>
    <x v="1"/>
    <n v="1098"/>
    <n v="0"/>
  </r>
  <r>
    <x v="5"/>
    <x v="1"/>
    <n v="1000"/>
    <n v="0"/>
  </r>
  <r>
    <x v="5"/>
    <x v="1"/>
    <n v="1098"/>
    <n v="0"/>
  </r>
  <r>
    <x v="6"/>
    <x v="1"/>
    <n v="1000"/>
    <n v="0"/>
  </r>
  <r>
    <x v="6"/>
    <x v="1"/>
    <n v="1098"/>
    <n v="0"/>
  </r>
  <r>
    <x v="7"/>
    <x v="1"/>
    <n v="1000"/>
    <n v="0"/>
  </r>
  <r>
    <x v="7"/>
    <x v="1"/>
    <n v="1098"/>
    <n v="0"/>
  </r>
  <r>
    <x v="8"/>
    <x v="1"/>
    <n v="1000"/>
    <n v="0"/>
  </r>
  <r>
    <x v="8"/>
    <x v="1"/>
    <n v="1098"/>
    <n v="0"/>
  </r>
  <r>
    <x v="9"/>
    <x v="1"/>
    <n v="1000"/>
    <n v="0"/>
  </r>
  <r>
    <x v="9"/>
    <x v="1"/>
    <n v="1098"/>
    <n v="0"/>
  </r>
  <r>
    <x v="10"/>
    <x v="1"/>
    <n v="1000"/>
    <n v="0"/>
  </r>
  <r>
    <x v="10"/>
    <x v="1"/>
    <n v="1080"/>
    <n v="0"/>
  </r>
  <r>
    <x v="10"/>
    <x v="1"/>
    <n v="1098"/>
    <n v="0"/>
  </r>
  <r>
    <x v="11"/>
    <x v="1"/>
    <n v="1000"/>
    <n v="0"/>
  </r>
  <r>
    <x v="11"/>
    <x v="1"/>
    <n v="1098"/>
    <n v="0"/>
  </r>
  <r>
    <x v="14"/>
    <x v="1"/>
    <n v="1000"/>
    <n v="0"/>
  </r>
  <r>
    <x v="14"/>
    <x v="1"/>
    <n v="1098"/>
    <n v="0"/>
  </r>
  <r>
    <x v="15"/>
    <x v="1"/>
    <n v="1000"/>
    <n v="0"/>
  </r>
  <r>
    <x v="15"/>
    <x v="1"/>
    <n v="1098"/>
    <n v="0"/>
  </r>
  <r>
    <x v="16"/>
    <x v="1"/>
    <n v="1000"/>
    <n v="0"/>
  </r>
  <r>
    <x v="16"/>
    <x v="1"/>
    <n v="1098"/>
    <n v="0"/>
  </r>
  <r>
    <x v="17"/>
    <x v="1"/>
    <n v="1000"/>
    <n v="0"/>
  </r>
  <r>
    <x v="18"/>
    <x v="1"/>
    <n v="1000"/>
    <n v="0"/>
  </r>
  <r>
    <x v="19"/>
    <x v="1"/>
    <n v="1000"/>
    <n v="0"/>
  </r>
  <r>
    <x v="19"/>
    <x v="1"/>
    <n v="1098"/>
    <n v="0"/>
  </r>
  <r>
    <x v="20"/>
    <x v="1"/>
    <n v="1000"/>
    <n v="0"/>
  </r>
  <r>
    <x v="21"/>
    <x v="1"/>
    <n v="1000"/>
    <n v="0"/>
  </r>
  <r>
    <x v="24"/>
    <x v="1"/>
    <n v="1000"/>
    <n v="0"/>
  </r>
  <r>
    <x v="24"/>
    <x v="1"/>
    <n v="1098"/>
    <n v="0"/>
  </r>
  <r>
    <x v="25"/>
    <x v="1"/>
    <n v="1000"/>
    <n v="0"/>
  </r>
  <r>
    <x v="25"/>
    <x v="1"/>
    <n v="1010"/>
    <n v="0"/>
  </r>
  <r>
    <x v="25"/>
    <x v="1"/>
    <n v="1080"/>
    <n v="0"/>
  </r>
  <r>
    <x v="25"/>
    <x v="1"/>
    <n v="1098"/>
    <n v="0"/>
  </r>
  <r>
    <x v="26"/>
    <x v="1"/>
    <n v="1000"/>
    <n v="0"/>
  </r>
  <r>
    <x v="26"/>
    <x v="1"/>
    <n v="1098"/>
    <n v="0"/>
  </r>
  <r>
    <x v="27"/>
    <x v="1"/>
    <n v="1000"/>
    <n v="0"/>
  </r>
  <r>
    <x v="27"/>
    <x v="1"/>
    <n v="1098"/>
    <n v="0"/>
  </r>
  <r>
    <x v="28"/>
    <x v="1"/>
    <n v="1000"/>
    <n v="0"/>
  </r>
  <r>
    <x v="28"/>
    <x v="1"/>
    <n v="1098"/>
    <n v="0"/>
  </r>
  <r>
    <x v="29"/>
    <x v="1"/>
    <n v="1000"/>
    <n v="0"/>
  </r>
  <r>
    <x v="29"/>
    <x v="1"/>
    <n v="1010"/>
    <n v="0"/>
  </r>
  <r>
    <x v="30"/>
    <x v="1"/>
    <n v="1000"/>
    <n v="0"/>
  </r>
  <r>
    <x v="30"/>
    <x v="1"/>
    <n v="1010"/>
    <n v="0"/>
  </r>
  <r>
    <x v="31"/>
    <x v="1"/>
    <n v="1000"/>
    <n v="0"/>
  </r>
  <r>
    <x v="31"/>
    <x v="1"/>
    <n v="1098"/>
    <n v="0"/>
  </r>
  <r>
    <x v="35"/>
    <x v="1"/>
    <n v="1000"/>
    <n v="0"/>
  </r>
  <r>
    <x v="35"/>
    <x v="1"/>
    <n v="1098"/>
    <n v="0"/>
  </r>
  <r>
    <x v="36"/>
    <x v="1"/>
    <n v="1000"/>
    <n v="0"/>
  </r>
  <r>
    <x v="36"/>
    <x v="1"/>
    <n v="1098"/>
    <n v="0"/>
  </r>
  <r>
    <x v="37"/>
    <x v="1"/>
    <n v="1000"/>
    <n v="0"/>
  </r>
  <r>
    <x v="37"/>
    <x v="1"/>
    <n v="1098"/>
    <n v="0"/>
  </r>
  <r>
    <x v="38"/>
    <x v="1"/>
    <n v="1000"/>
    <n v="0"/>
  </r>
  <r>
    <x v="38"/>
    <x v="1"/>
    <n v="1098"/>
    <n v="0"/>
  </r>
  <r>
    <x v="40"/>
    <x v="1"/>
    <n v="1000"/>
    <n v="0"/>
  </r>
  <r>
    <x v="41"/>
    <x v="1"/>
    <n v="1000"/>
    <n v="0"/>
  </r>
  <r>
    <x v="41"/>
    <x v="1"/>
    <n v="1098"/>
    <n v="0"/>
  </r>
  <r>
    <x v="42"/>
    <x v="1"/>
    <n v="1000"/>
    <n v="0"/>
  </r>
  <r>
    <x v="43"/>
    <x v="1"/>
    <n v="1000"/>
    <n v="0"/>
  </r>
  <r>
    <x v="44"/>
    <x v="1"/>
    <n v="1000"/>
    <n v="0"/>
  </r>
  <r>
    <x v="45"/>
    <x v="1"/>
    <n v="1000"/>
    <n v="63932"/>
  </r>
  <r>
    <x v="46"/>
    <x v="1"/>
    <n v="1000"/>
    <n v="0"/>
  </r>
  <r>
    <x v="47"/>
    <x v="1"/>
    <n v="1000"/>
    <n v="15900"/>
  </r>
  <r>
    <x v="50"/>
    <x v="1"/>
    <n v="1000"/>
    <n v="15520"/>
  </r>
  <r>
    <x v="50"/>
    <x v="1"/>
    <n v="1010"/>
    <n v="0"/>
  </r>
  <r>
    <x v="50"/>
    <x v="1"/>
    <n v="1098"/>
    <n v="0"/>
  </r>
  <r>
    <x v="93"/>
    <x v="1"/>
    <n v="1000"/>
    <n v="0"/>
  </r>
  <r>
    <x v="51"/>
    <x v="1"/>
    <n v="1000"/>
    <n v="0"/>
  </r>
  <r>
    <x v="51"/>
    <x v="1"/>
    <n v="1098"/>
    <n v="0"/>
  </r>
  <r>
    <x v="52"/>
    <x v="1"/>
    <n v="1000"/>
    <n v="0"/>
  </r>
  <r>
    <x v="52"/>
    <x v="1"/>
    <n v="1098"/>
    <n v="0"/>
  </r>
  <r>
    <x v="53"/>
    <x v="1"/>
    <n v="1000"/>
    <n v="0"/>
  </r>
  <r>
    <x v="53"/>
    <x v="1"/>
    <n v="1098"/>
    <n v="0"/>
  </r>
  <r>
    <x v="55"/>
    <x v="1"/>
    <n v="1000"/>
    <n v="0"/>
  </r>
  <r>
    <x v="56"/>
    <x v="1"/>
    <n v="1000"/>
    <n v="0"/>
  </r>
  <r>
    <x v="56"/>
    <x v="1"/>
    <n v="1098"/>
    <n v="0"/>
  </r>
  <r>
    <x v="94"/>
    <x v="1"/>
    <n v="1000"/>
    <n v="0"/>
  </r>
  <r>
    <x v="57"/>
    <x v="1"/>
    <n v="1000"/>
    <n v="0"/>
  </r>
  <r>
    <x v="57"/>
    <x v="1"/>
    <n v="1098"/>
    <n v="0"/>
  </r>
  <r>
    <x v="58"/>
    <x v="1"/>
    <n v="1000"/>
    <n v="0"/>
  </r>
  <r>
    <x v="58"/>
    <x v="1"/>
    <n v="1098"/>
    <n v="0"/>
  </r>
  <r>
    <x v="60"/>
    <x v="1"/>
    <n v="1000"/>
    <n v="0"/>
  </r>
  <r>
    <x v="61"/>
    <x v="1"/>
    <n v="1000"/>
    <n v="0"/>
  </r>
  <r>
    <x v="61"/>
    <x v="1"/>
    <n v="1080"/>
    <n v="0"/>
  </r>
  <r>
    <x v="61"/>
    <x v="1"/>
    <n v="1098"/>
    <n v="0"/>
  </r>
  <r>
    <x v="62"/>
    <x v="1"/>
    <n v="1000"/>
    <n v="0"/>
  </r>
  <r>
    <x v="63"/>
    <x v="1"/>
    <n v="1000"/>
    <n v="0"/>
  </r>
  <r>
    <x v="63"/>
    <x v="1"/>
    <n v="1098"/>
    <n v="0"/>
  </r>
  <r>
    <x v="64"/>
    <x v="1"/>
    <n v="1000"/>
    <n v="74163"/>
  </r>
  <r>
    <x v="64"/>
    <x v="1"/>
    <n v="1080"/>
    <n v="0"/>
  </r>
  <r>
    <x v="64"/>
    <x v="1"/>
    <n v="1098"/>
    <n v="0"/>
  </r>
  <r>
    <x v="65"/>
    <x v="1"/>
    <n v="1000"/>
    <n v="0"/>
  </r>
  <r>
    <x v="66"/>
    <x v="1"/>
    <n v="1000"/>
    <n v="0"/>
  </r>
  <r>
    <x v="67"/>
    <x v="1"/>
    <n v="1000"/>
    <n v="0"/>
  </r>
  <r>
    <x v="67"/>
    <x v="1"/>
    <n v="1080"/>
    <n v="0"/>
  </r>
  <r>
    <x v="68"/>
    <x v="1"/>
    <n v="1000"/>
    <n v="0"/>
  </r>
  <r>
    <x v="69"/>
    <x v="1"/>
    <n v="1000"/>
    <n v="0"/>
  </r>
  <r>
    <x v="70"/>
    <x v="1"/>
    <n v="1000"/>
    <n v="0"/>
  </r>
  <r>
    <x v="71"/>
    <x v="1"/>
    <n v="1000"/>
    <n v="0"/>
  </r>
  <r>
    <x v="72"/>
    <x v="1"/>
    <n v="1000"/>
    <n v="0"/>
  </r>
  <r>
    <x v="73"/>
    <x v="1"/>
    <n v="1000"/>
    <n v="0"/>
  </r>
  <r>
    <x v="74"/>
    <x v="1"/>
    <n v="1000"/>
    <n v="0"/>
  </r>
  <r>
    <x v="75"/>
    <x v="1"/>
    <n v="1000"/>
    <n v="231404"/>
  </r>
  <r>
    <x v="76"/>
    <x v="1"/>
    <n v="1000"/>
    <n v="1313826"/>
  </r>
  <r>
    <x v="76"/>
    <x v="1"/>
    <n v="1080"/>
    <n v="0"/>
  </r>
  <r>
    <x v="95"/>
    <x v="1"/>
    <n v="1000"/>
    <n v="0"/>
  </r>
  <r>
    <x v="95"/>
    <x v="1"/>
    <n v="1080"/>
    <n v="0"/>
  </r>
  <r>
    <x v="96"/>
    <x v="1"/>
    <n v="1000"/>
    <n v="0"/>
  </r>
  <r>
    <x v="77"/>
    <x v="1"/>
    <n v="1000"/>
    <n v="0"/>
  </r>
  <r>
    <x v="78"/>
    <x v="1"/>
    <n v="1000"/>
    <n v="0"/>
  </r>
  <r>
    <x v="79"/>
    <x v="1"/>
    <n v="1000"/>
    <n v="0"/>
  </r>
  <r>
    <x v="80"/>
    <x v="1"/>
    <n v="1000"/>
    <n v="0"/>
  </r>
  <r>
    <x v="88"/>
    <x v="1"/>
    <n v="1000"/>
    <n v="0"/>
  </r>
  <r>
    <x v="0"/>
    <x v="2"/>
    <n v="1000"/>
    <n v="11698525"/>
  </r>
  <r>
    <x v="0"/>
    <x v="2"/>
    <n v="1080"/>
    <n v="48000000"/>
  </r>
  <r>
    <x v="0"/>
    <x v="2"/>
    <n v="1098"/>
    <n v="0"/>
  </r>
  <r>
    <x v="1"/>
    <x v="2"/>
    <n v="1000"/>
    <n v="0"/>
  </r>
  <r>
    <x v="1"/>
    <x v="2"/>
    <n v="1098"/>
    <n v="0"/>
  </r>
  <r>
    <x v="2"/>
    <x v="2"/>
    <n v="1000"/>
    <n v="0"/>
  </r>
  <r>
    <x v="3"/>
    <x v="2"/>
    <n v="1000"/>
    <n v="0"/>
  </r>
  <r>
    <x v="3"/>
    <x v="2"/>
    <n v="1098"/>
    <n v="0"/>
  </r>
  <r>
    <x v="5"/>
    <x v="2"/>
    <n v="1000"/>
    <n v="0"/>
  </r>
  <r>
    <x v="6"/>
    <x v="2"/>
    <n v="1000"/>
    <n v="0"/>
  </r>
  <r>
    <x v="6"/>
    <x v="2"/>
    <n v="1098"/>
    <n v="0"/>
  </r>
  <r>
    <x v="7"/>
    <x v="2"/>
    <n v="1000"/>
    <n v="0"/>
  </r>
  <r>
    <x v="8"/>
    <x v="2"/>
    <n v="1000"/>
    <n v="0"/>
  </r>
  <r>
    <x v="8"/>
    <x v="2"/>
    <n v="1098"/>
    <n v="0"/>
  </r>
  <r>
    <x v="9"/>
    <x v="2"/>
    <n v="1000"/>
    <n v="0"/>
  </r>
  <r>
    <x v="10"/>
    <x v="2"/>
    <n v="1000"/>
    <n v="0"/>
  </r>
  <r>
    <x v="10"/>
    <x v="2"/>
    <n v="1080"/>
    <n v="0"/>
  </r>
  <r>
    <x v="10"/>
    <x v="2"/>
    <n v="1098"/>
    <n v="0"/>
  </r>
  <r>
    <x v="11"/>
    <x v="2"/>
    <n v="1000"/>
    <n v="0"/>
  </r>
  <r>
    <x v="12"/>
    <x v="2"/>
    <n v="1000"/>
    <n v="0"/>
  </r>
  <r>
    <x v="14"/>
    <x v="2"/>
    <n v="1000"/>
    <n v="0"/>
  </r>
  <r>
    <x v="15"/>
    <x v="2"/>
    <n v="1000"/>
    <n v="0"/>
  </r>
  <r>
    <x v="16"/>
    <x v="2"/>
    <n v="1000"/>
    <n v="0"/>
  </r>
  <r>
    <x v="17"/>
    <x v="2"/>
    <n v="1000"/>
    <n v="0"/>
  </r>
  <r>
    <x v="18"/>
    <x v="2"/>
    <n v="1000"/>
    <n v="0"/>
  </r>
  <r>
    <x v="18"/>
    <x v="2"/>
    <n v="1098"/>
    <n v="0"/>
  </r>
  <r>
    <x v="21"/>
    <x v="2"/>
    <n v="1000"/>
    <n v="0"/>
  </r>
  <r>
    <x v="21"/>
    <x v="2"/>
    <n v="1080"/>
    <n v="0"/>
  </r>
  <r>
    <x v="24"/>
    <x v="2"/>
    <n v="1000"/>
    <n v="0"/>
  </r>
  <r>
    <x v="24"/>
    <x v="2"/>
    <n v="1080"/>
    <n v="0"/>
  </r>
  <r>
    <x v="25"/>
    <x v="2"/>
    <n v="1000"/>
    <n v="0"/>
  </r>
  <r>
    <x v="25"/>
    <x v="2"/>
    <n v="1010"/>
    <n v="0"/>
  </r>
  <r>
    <x v="25"/>
    <x v="2"/>
    <n v="1098"/>
    <n v="0"/>
  </r>
  <r>
    <x v="26"/>
    <x v="2"/>
    <n v="1000"/>
    <n v="52126"/>
  </r>
  <r>
    <x v="26"/>
    <x v="2"/>
    <n v="1098"/>
    <n v="0"/>
  </r>
  <r>
    <x v="27"/>
    <x v="2"/>
    <n v="1000"/>
    <n v="0"/>
  </r>
  <r>
    <x v="28"/>
    <x v="2"/>
    <n v="1000"/>
    <n v="0"/>
  </r>
  <r>
    <x v="28"/>
    <x v="2"/>
    <n v="1010"/>
    <n v="0"/>
  </r>
  <r>
    <x v="28"/>
    <x v="2"/>
    <n v="1098"/>
    <n v="0"/>
  </r>
  <r>
    <x v="29"/>
    <x v="2"/>
    <n v="1000"/>
    <n v="0"/>
  </r>
  <r>
    <x v="31"/>
    <x v="2"/>
    <n v="1000"/>
    <n v="0"/>
  </r>
  <r>
    <x v="34"/>
    <x v="2"/>
    <n v="1000"/>
    <n v="0"/>
  </r>
  <r>
    <x v="34"/>
    <x v="2"/>
    <n v="1098"/>
    <n v="0"/>
  </r>
  <r>
    <x v="35"/>
    <x v="2"/>
    <n v="1000"/>
    <n v="16560"/>
  </r>
  <r>
    <x v="35"/>
    <x v="2"/>
    <n v="1098"/>
    <n v="0"/>
  </r>
  <r>
    <x v="37"/>
    <x v="2"/>
    <n v="1000"/>
    <n v="2495477"/>
  </r>
  <r>
    <x v="37"/>
    <x v="2"/>
    <n v="1098"/>
    <n v="0"/>
  </r>
  <r>
    <x v="38"/>
    <x v="2"/>
    <n v="1000"/>
    <n v="0"/>
  </r>
  <r>
    <x v="38"/>
    <x v="2"/>
    <n v="1098"/>
    <n v="0"/>
  </r>
  <r>
    <x v="40"/>
    <x v="2"/>
    <n v="1000"/>
    <n v="0"/>
  </r>
  <r>
    <x v="41"/>
    <x v="2"/>
    <n v="1000"/>
    <n v="71031"/>
  </r>
  <r>
    <x v="41"/>
    <x v="2"/>
    <n v="1098"/>
    <n v="0"/>
  </r>
  <r>
    <x v="42"/>
    <x v="2"/>
    <n v="1000"/>
    <n v="290455"/>
  </r>
  <r>
    <x v="42"/>
    <x v="2"/>
    <n v="1098"/>
    <n v="0"/>
  </r>
  <r>
    <x v="43"/>
    <x v="2"/>
    <n v="1000"/>
    <n v="0"/>
  </r>
  <r>
    <x v="44"/>
    <x v="2"/>
    <n v="1000"/>
    <n v="1"/>
  </r>
  <r>
    <x v="44"/>
    <x v="2"/>
    <n v="1098"/>
    <n v="0"/>
  </r>
  <r>
    <x v="45"/>
    <x v="2"/>
    <n v="1000"/>
    <n v="0"/>
  </r>
  <r>
    <x v="46"/>
    <x v="2"/>
    <n v="1000"/>
    <n v="0"/>
  </r>
  <r>
    <x v="46"/>
    <x v="2"/>
    <n v="1080"/>
    <n v="0"/>
  </r>
  <r>
    <x v="47"/>
    <x v="2"/>
    <n v="1000"/>
    <n v="0"/>
  </r>
  <r>
    <x v="47"/>
    <x v="2"/>
    <n v="1080"/>
    <n v="0"/>
  </r>
  <r>
    <x v="50"/>
    <x v="2"/>
    <n v="1000"/>
    <n v="19162"/>
  </r>
  <r>
    <x v="50"/>
    <x v="2"/>
    <n v="1080"/>
    <n v="0"/>
  </r>
  <r>
    <x v="50"/>
    <x v="2"/>
    <n v="1098"/>
    <n v="0"/>
  </r>
  <r>
    <x v="51"/>
    <x v="2"/>
    <n v="1000"/>
    <n v="0"/>
  </r>
  <r>
    <x v="52"/>
    <x v="2"/>
    <n v="1000"/>
    <n v="1288904"/>
  </r>
  <r>
    <x v="52"/>
    <x v="2"/>
    <n v="1098"/>
    <n v="0"/>
  </r>
  <r>
    <x v="53"/>
    <x v="2"/>
    <n v="1000"/>
    <n v="0"/>
  </r>
  <r>
    <x v="53"/>
    <x v="2"/>
    <n v="1010"/>
    <n v="0"/>
  </r>
  <r>
    <x v="54"/>
    <x v="2"/>
    <n v="1000"/>
    <n v="0"/>
  </r>
  <r>
    <x v="55"/>
    <x v="2"/>
    <n v="1000"/>
    <n v="0"/>
  </r>
  <r>
    <x v="55"/>
    <x v="2"/>
    <n v="1098"/>
    <n v="0"/>
  </r>
  <r>
    <x v="56"/>
    <x v="2"/>
    <n v="1000"/>
    <n v="0"/>
  </r>
  <r>
    <x v="56"/>
    <x v="2"/>
    <n v="1098"/>
    <n v="0"/>
  </r>
  <r>
    <x v="57"/>
    <x v="2"/>
    <n v="1000"/>
    <n v="0"/>
  </r>
  <r>
    <x v="57"/>
    <x v="2"/>
    <n v="1098"/>
    <n v="0"/>
  </r>
  <r>
    <x v="58"/>
    <x v="2"/>
    <n v="1000"/>
    <n v="0"/>
  </r>
  <r>
    <x v="58"/>
    <x v="2"/>
    <n v="1098"/>
    <n v="0"/>
  </r>
  <r>
    <x v="60"/>
    <x v="2"/>
    <n v="1000"/>
    <n v="0"/>
  </r>
  <r>
    <x v="61"/>
    <x v="2"/>
    <n v="1000"/>
    <n v="0"/>
  </r>
  <r>
    <x v="61"/>
    <x v="2"/>
    <n v="1098"/>
    <n v="0"/>
  </r>
  <r>
    <x v="63"/>
    <x v="2"/>
    <n v="1000"/>
    <n v="0"/>
  </r>
  <r>
    <x v="64"/>
    <x v="2"/>
    <n v="1000"/>
    <n v="0"/>
  </r>
  <r>
    <x v="64"/>
    <x v="2"/>
    <n v="1098"/>
    <n v="0"/>
  </r>
  <r>
    <x v="65"/>
    <x v="2"/>
    <n v="1000"/>
    <n v="0"/>
  </r>
  <r>
    <x v="66"/>
    <x v="2"/>
    <n v="1000"/>
    <n v="0"/>
  </r>
  <r>
    <x v="67"/>
    <x v="2"/>
    <n v="1000"/>
    <n v="0"/>
  </r>
  <r>
    <x v="67"/>
    <x v="2"/>
    <n v="1098"/>
    <n v="0"/>
  </r>
  <r>
    <x v="68"/>
    <x v="2"/>
    <n v="1000"/>
    <n v="0"/>
  </r>
  <r>
    <x v="69"/>
    <x v="2"/>
    <n v="1000"/>
    <n v="0"/>
  </r>
  <r>
    <x v="69"/>
    <x v="2"/>
    <n v="1080"/>
    <n v="0"/>
  </r>
  <r>
    <x v="70"/>
    <x v="2"/>
    <n v="1000"/>
    <n v="0"/>
  </r>
  <r>
    <x v="71"/>
    <x v="2"/>
    <n v="1000"/>
    <n v="187617"/>
  </r>
  <r>
    <x v="71"/>
    <x v="2"/>
    <n v="1080"/>
    <n v="0"/>
  </r>
  <r>
    <x v="72"/>
    <x v="2"/>
    <n v="1000"/>
    <n v="7030"/>
  </r>
  <r>
    <x v="74"/>
    <x v="2"/>
    <n v="1000"/>
    <n v="0"/>
  </r>
  <r>
    <x v="75"/>
    <x v="2"/>
    <n v="1000"/>
    <n v="177544"/>
  </r>
  <r>
    <x v="76"/>
    <x v="2"/>
    <n v="1000"/>
    <n v="0"/>
  </r>
  <r>
    <x v="76"/>
    <x v="2"/>
    <n v="1080"/>
    <n v="0"/>
  </r>
  <r>
    <x v="77"/>
    <x v="2"/>
    <n v="1000"/>
    <n v="0"/>
  </r>
  <r>
    <x v="78"/>
    <x v="2"/>
    <n v="1000"/>
    <n v="0"/>
  </r>
  <r>
    <x v="79"/>
    <x v="2"/>
    <n v="1000"/>
    <n v="0"/>
  </r>
  <r>
    <x v="81"/>
    <x v="2"/>
    <n v="1000"/>
    <n v="0"/>
  </r>
  <r>
    <x v="97"/>
    <x v="2"/>
    <n v="1000"/>
    <n v="0"/>
  </r>
  <r>
    <x v="89"/>
    <x v="2"/>
    <n v="1000"/>
    <n v="0"/>
  </r>
  <r>
    <x v="89"/>
    <x v="2"/>
    <n v="1080"/>
    <n v="0"/>
  </r>
  <r>
    <x v="98"/>
    <x v="2"/>
    <n v="1000"/>
    <n v="0"/>
  </r>
  <r>
    <x v="0"/>
    <x v="3"/>
    <n v="1000"/>
    <n v="15296400"/>
  </r>
  <r>
    <x v="0"/>
    <x v="3"/>
    <n v="1010"/>
    <n v="0"/>
  </r>
  <r>
    <x v="0"/>
    <x v="3"/>
    <n v="1080"/>
    <n v="130480000"/>
  </r>
  <r>
    <x v="0"/>
    <x v="3"/>
    <n v="1098"/>
    <n v="0"/>
  </r>
  <r>
    <x v="92"/>
    <x v="3"/>
    <n v="1000"/>
    <n v="0"/>
  </r>
  <r>
    <x v="1"/>
    <x v="3"/>
    <n v="1000"/>
    <n v="372320"/>
  </r>
  <r>
    <x v="1"/>
    <x v="3"/>
    <n v="1080"/>
    <n v="0"/>
  </r>
  <r>
    <x v="1"/>
    <x v="3"/>
    <n v="1098"/>
    <n v="0"/>
  </r>
  <r>
    <x v="2"/>
    <x v="3"/>
    <n v="1000"/>
    <n v="0"/>
  </r>
  <r>
    <x v="2"/>
    <x v="3"/>
    <n v="1010"/>
    <n v="0"/>
  </r>
  <r>
    <x v="2"/>
    <x v="3"/>
    <n v="1098"/>
    <n v="0"/>
  </r>
  <r>
    <x v="3"/>
    <x v="3"/>
    <n v="1000"/>
    <n v="0"/>
  </r>
  <r>
    <x v="3"/>
    <x v="3"/>
    <n v="1010"/>
    <n v="0"/>
  </r>
  <r>
    <x v="3"/>
    <x v="3"/>
    <n v="1080"/>
    <n v="0"/>
  </r>
  <r>
    <x v="3"/>
    <x v="3"/>
    <n v="1098"/>
    <n v="0"/>
  </r>
  <r>
    <x v="4"/>
    <x v="3"/>
    <n v="1000"/>
    <n v="0"/>
  </r>
  <r>
    <x v="5"/>
    <x v="3"/>
    <n v="1000"/>
    <n v="-45431"/>
  </r>
  <r>
    <x v="5"/>
    <x v="3"/>
    <n v="1098"/>
    <n v="0"/>
  </r>
  <r>
    <x v="6"/>
    <x v="3"/>
    <n v="1000"/>
    <n v="1654420"/>
  </r>
  <r>
    <x v="6"/>
    <x v="3"/>
    <n v="1080"/>
    <n v="0"/>
  </r>
  <r>
    <x v="6"/>
    <x v="3"/>
    <n v="1098"/>
    <n v="0"/>
  </r>
  <r>
    <x v="8"/>
    <x v="3"/>
    <n v="1000"/>
    <n v="0"/>
  </r>
  <r>
    <x v="8"/>
    <x v="3"/>
    <n v="1098"/>
    <n v="0"/>
  </r>
  <r>
    <x v="9"/>
    <x v="3"/>
    <n v="1000"/>
    <n v="0"/>
  </r>
  <r>
    <x v="9"/>
    <x v="3"/>
    <n v="1098"/>
    <n v="0"/>
  </r>
  <r>
    <x v="10"/>
    <x v="3"/>
    <n v="1000"/>
    <n v="3957180"/>
  </r>
  <r>
    <x v="10"/>
    <x v="3"/>
    <n v="1080"/>
    <n v="0"/>
  </r>
  <r>
    <x v="10"/>
    <x v="3"/>
    <n v="1098"/>
    <n v="0"/>
  </r>
  <r>
    <x v="11"/>
    <x v="3"/>
    <n v="1000"/>
    <n v="0"/>
  </r>
  <r>
    <x v="11"/>
    <x v="3"/>
    <n v="1098"/>
    <n v="0"/>
  </r>
  <r>
    <x v="12"/>
    <x v="3"/>
    <n v="1000"/>
    <n v="0"/>
  </r>
  <r>
    <x v="14"/>
    <x v="3"/>
    <n v="1000"/>
    <n v="0"/>
  </r>
  <r>
    <x v="14"/>
    <x v="3"/>
    <n v="1098"/>
    <n v="0"/>
  </r>
  <r>
    <x v="15"/>
    <x v="3"/>
    <n v="1000"/>
    <n v="0"/>
  </r>
  <r>
    <x v="16"/>
    <x v="3"/>
    <n v="1000"/>
    <n v="0"/>
  </r>
  <r>
    <x v="17"/>
    <x v="3"/>
    <n v="1000"/>
    <n v="0"/>
  </r>
  <r>
    <x v="18"/>
    <x v="3"/>
    <n v="1000"/>
    <n v="0"/>
  </r>
  <r>
    <x v="18"/>
    <x v="3"/>
    <n v="1098"/>
    <n v="0"/>
  </r>
  <r>
    <x v="19"/>
    <x v="3"/>
    <n v="1000"/>
    <n v="0"/>
  </r>
  <r>
    <x v="19"/>
    <x v="3"/>
    <n v="1080"/>
    <n v="0"/>
  </r>
  <r>
    <x v="19"/>
    <x v="3"/>
    <n v="1098"/>
    <n v="0"/>
  </r>
  <r>
    <x v="20"/>
    <x v="3"/>
    <n v="1000"/>
    <n v="0"/>
  </r>
  <r>
    <x v="21"/>
    <x v="3"/>
    <n v="1000"/>
    <n v="0"/>
  </r>
  <r>
    <x v="21"/>
    <x v="3"/>
    <n v="1080"/>
    <n v="0"/>
  </r>
  <r>
    <x v="23"/>
    <x v="3"/>
    <n v="1000"/>
    <n v="0"/>
  </r>
  <r>
    <x v="24"/>
    <x v="3"/>
    <n v="1000"/>
    <n v="0"/>
  </r>
  <r>
    <x v="24"/>
    <x v="3"/>
    <n v="1098"/>
    <n v="0"/>
  </r>
  <r>
    <x v="25"/>
    <x v="3"/>
    <n v="1000"/>
    <n v="0"/>
  </r>
  <r>
    <x v="25"/>
    <x v="3"/>
    <n v="1098"/>
    <n v="0"/>
  </r>
  <r>
    <x v="26"/>
    <x v="3"/>
    <n v="1000"/>
    <n v="3360"/>
  </r>
  <r>
    <x v="26"/>
    <x v="3"/>
    <n v="1098"/>
    <n v="0"/>
  </r>
  <r>
    <x v="27"/>
    <x v="3"/>
    <n v="1000"/>
    <n v="0"/>
  </r>
  <r>
    <x v="28"/>
    <x v="3"/>
    <n v="1000"/>
    <n v="0"/>
  </r>
  <r>
    <x v="28"/>
    <x v="3"/>
    <n v="1098"/>
    <n v="0"/>
  </r>
  <r>
    <x v="29"/>
    <x v="3"/>
    <n v="1000"/>
    <n v="0"/>
  </r>
  <r>
    <x v="34"/>
    <x v="3"/>
    <n v="1000"/>
    <n v="0"/>
  </r>
  <r>
    <x v="34"/>
    <x v="3"/>
    <n v="1080"/>
    <n v="0"/>
  </r>
  <r>
    <x v="34"/>
    <x v="3"/>
    <n v="1098"/>
    <n v="0"/>
  </r>
  <r>
    <x v="35"/>
    <x v="3"/>
    <n v="1000"/>
    <n v="0"/>
  </r>
  <r>
    <x v="35"/>
    <x v="3"/>
    <n v="1098"/>
    <n v="0"/>
  </r>
  <r>
    <x v="36"/>
    <x v="3"/>
    <n v="1000"/>
    <n v="0"/>
  </r>
  <r>
    <x v="37"/>
    <x v="3"/>
    <n v="1000"/>
    <n v="0"/>
  </r>
  <r>
    <x v="37"/>
    <x v="3"/>
    <n v="1080"/>
    <n v="0"/>
  </r>
  <r>
    <x v="37"/>
    <x v="3"/>
    <n v="1098"/>
    <n v="0"/>
  </r>
  <r>
    <x v="38"/>
    <x v="3"/>
    <n v="1000"/>
    <n v="515300"/>
  </r>
  <r>
    <x v="38"/>
    <x v="3"/>
    <n v="1098"/>
    <n v="0"/>
  </r>
  <r>
    <x v="39"/>
    <x v="3"/>
    <n v="1000"/>
    <n v="0"/>
  </r>
  <r>
    <x v="40"/>
    <x v="3"/>
    <n v="1000"/>
    <n v="0"/>
  </r>
  <r>
    <x v="40"/>
    <x v="3"/>
    <n v="1098"/>
    <n v="0"/>
  </r>
  <r>
    <x v="41"/>
    <x v="3"/>
    <n v="1000"/>
    <n v="0"/>
  </r>
  <r>
    <x v="41"/>
    <x v="3"/>
    <n v="1098"/>
    <n v="0"/>
  </r>
  <r>
    <x v="42"/>
    <x v="3"/>
    <n v="1000"/>
    <n v="16800"/>
  </r>
  <r>
    <x v="42"/>
    <x v="3"/>
    <n v="1080"/>
    <n v="0"/>
  </r>
  <r>
    <x v="42"/>
    <x v="3"/>
    <n v="1098"/>
    <n v="0"/>
  </r>
  <r>
    <x v="99"/>
    <x v="3"/>
    <n v="1000"/>
    <n v="0"/>
  </r>
  <r>
    <x v="44"/>
    <x v="3"/>
    <n v="1000"/>
    <n v="1422980"/>
  </r>
  <r>
    <x v="44"/>
    <x v="3"/>
    <n v="1098"/>
    <n v="0"/>
  </r>
  <r>
    <x v="45"/>
    <x v="3"/>
    <n v="1000"/>
    <n v="374502"/>
  </r>
  <r>
    <x v="45"/>
    <x v="3"/>
    <n v="1080"/>
    <n v="0"/>
  </r>
  <r>
    <x v="45"/>
    <x v="3"/>
    <n v="1098"/>
    <n v="0"/>
  </r>
  <r>
    <x v="46"/>
    <x v="3"/>
    <n v="1000"/>
    <n v="34780"/>
  </r>
  <r>
    <x v="46"/>
    <x v="3"/>
    <n v="1080"/>
    <n v="0"/>
  </r>
  <r>
    <x v="47"/>
    <x v="3"/>
    <n v="1000"/>
    <n v="0"/>
  </r>
  <r>
    <x v="47"/>
    <x v="3"/>
    <n v="1080"/>
    <n v="0"/>
  </r>
  <r>
    <x v="47"/>
    <x v="3"/>
    <n v="1098"/>
    <n v="0"/>
  </r>
  <r>
    <x v="48"/>
    <x v="3"/>
    <n v="1000"/>
    <n v="0"/>
  </r>
  <r>
    <x v="48"/>
    <x v="3"/>
    <n v="1080"/>
    <n v="0"/>
  </r>
  <r>
    <x v="50"/>
    <x v="3"/>
    <n v="1000"/>
    <n v="203160"/>
  </r>
  <r>
    <x v="50"/>
    <x v="3"/>
    <n v="1098"/>
    <n v="0"/>
  </r>
  <r>
    <x v="93"/>
    <x v="3"/>
    <n v="1000"/>
    <n v="0"/>
  </r>
  <r>
    <x v="93"/>
    <x v="3"/>
    <n v="1098"/>
    <n v="0"/>
  </r>
  <r>
    <x v="51"/>
    <x v="3"/>
    <n v="1000"/>
    <n v="0"/>
  </r>
  <r>
    <x v="52"/>
    <x v="3"/>
    <n v="1000"/>
    <n v="293420"/>
  </r>
  <r>
    <x v="52"/>
    <x v="3"/>
    <n v="1010"/>
    <n v="0"/>
  </r>
  <r>
    <x v="52"/>
    <x v="3"/>
    <n v="1098"/>
    <n v="0"/>
  </r>
  <r>
    <x v="53"/>
    <x v="3"/>
    <n v="1000"/>
    <n v="0"/>
  </r>
  <r>
    <x v="53"/>
    <x v="3"/>
    <n v="1080"/>
    <n v="0"/>
  </r>
  <r>
    <x v="53"/>
    <x v="3"/>
    <n v="1098"/>
    <n v="0"/>
  </r>
  <r>
    <x v="55"/>
    <x v="3"/>
    <n v="1000"/>
    <n v="282570"/>
  </r>
  <r>
    <x v="55"/>
    <x v="3"/>
    <n v="1080"/>
    <n v="0"/>
  </r>
  <r>
    <x v="55"/>
    <x v="3"/>
    <n v="1098"/>
    <n v="0"/>
  </r>
  <r>
    <x v="56"/>
    <x v="3"/>
    <n v="1000"/>
    <n v="0"/>
  </r>
  <r>
    <x v="56"/>
    <x v="3"/>
    <n v="1080"/>
    <n v="0"/>
  </r>
  <r>
    <x v="56"/>
    <x v="3"/>
    <n v="1098"/>
    <n v="0"/>
  </r>
  <r>
    <x v="94"/>
    <x v="3"/>
    <n v="1000"/>
    <n v="0"/>
  </r>
  <r>
    <x v="57"/>
    <x v="3"/>
    <n v="1000"/>
    <n v="47456"/>
  </r>
  <r>
    <x v="57"/>
    <x v="3"/>
    <n v="1098"/>
    <n v="0"/>
  </r>
  <r>
    <x v="58"/>
    <x v="3"/>
    <n v="1000"/>
    <n v="0"/>
  </r>
  <r>
    <x v="58"/>
    <x v="3"/>
    <n v="1098"/>
    <n v="0"/>
  </r>
  <r>
    <x v="59"/>
    <x v="3"/>
    <n v="1000"/>
    <n v="0"/>
  </r>
  <r>
    <x v="59"/>
    <x v="3"/>
    <n v="1098"/>
    <n v="0"/>
  </r>
  <r>
    <x v="60"/>
    <x v="3"/>
    <n v="1000"/>
    <n v="365378"/>
  </r>
  <r>
    <x v="60"/>
    <x v="3"/>
    <n v="1080"/>
    <n v="0"/>
  </r>
  <r>
    <x v="61"/>
    <x v="3"/>
    <n v="1000"/>
    <n v="0"/>
  </r>
  <r>
    <x v="61"/>
    <x v="3"/>
    <n v="1080"/>
    <n v="0"/>
  </r>
  <r>
    <x v="61"/>
    <x v="3"/>
    <n v="1098"/>
    <n v="0"/>
  </r>
  <r>
    <x v="62"/>
    <x v="3"/>
    <n v="1000"/>
    <n v="0"/>
  </r>
  <r>
    <x v="62"/>
    <x v="3"/>
    <n v="1098"/>
    <n v="0"/>
  </r>
  <r>
    <x v="63"/>
    <x v="3"/>
    <n v="1000"/>
    <n v="0"/>
  </r>
  <r>
    <x v="64"/>
    <x v="3"/>
    <n v="1000"/>
    <n v="0"/>
  </r>
  <r>
    <x v="64"/>
    <x v="3"/>
    <n v="1080"/>
    <n v="0"/>
  </r>
  <r>
    <x v="64"/>
    <x v="3"/>
    <n v="1098"/>
    <n v="0"/>
  </r>
  <r>
    <x v="65"/>
    <x v="3"/>
    <n v="1000"/>
    <n v="54180"/>
  </r>
  <r>
    <x v="66"/>
    <x v="3"/>
    <n v="1000"/>
    <n v="0"/>
  </r>
  <r>
    <x v="67"/>
    <x v="3"/>
    <n v="1000"/>
    <n v="0"/>
  </r>
  <r>
    <x v="68"/>
    <x v="3"/>
    <n v="1000"/>
    <n v="0"/>
  </r>
  <r>
    <x v="68"/>
    <x v="3"/>
    <n v="1080"/>
    <n v="0"/>
  </r>
  <r>
    <x v="69"/>
    <x v="3"/>
    <n v="1000"/>
    <n v="1160"/>
  </r>
  <r>
    <x v="70"/>
    <x v="3"/>
    <n v="1000"/>
    <n v="0"/>
  </r>
  <r>
    <x v="71"/>
    <x v="3"/>
    <n v="1000"/>
    <n v="43860"/>
  </r>
  <r>
    <x v="72"/>
    <x v="3"/>
    <n v="1000"/>
    <n v="606"/>
  </r>
  <r>
    <x v="72"/>
    <x v="3"/>
    <n v="1098"/>
    <n v="0"/>
  </r>
  <r>
    <x v="74"/>
    <x v="3"/>
    <n v="1000"/>
    <n v="0"/>
  </r>
  <r>
    <x v="75"/>
    <x v="3"/>
    <n v="1000"/>
    <n v="191863"/>
  </r>
  <r>
    <x v="76"/>
    <x v="3"/>
    <n v="1000"/>
    <n v="0"/>
  </r>
  <r>
    <x v="76"/>
    <x v="3"/>
    <n v="1080"/>
    <n v="96320000"/>
  </r>
  <r>
    <x v="95"/>
    <x v="3"/>
    <n v="1000"/>
    <n v="0"/>
  </r>
  <r>
    <x v="77"/>
    <x v="3"/>
    <n v="1000"/>
    <n v="0"/>
  </r>
  <r>
    <x v="78"/>
    <x v="3"/>
    <n v="1000"/>
    <n v="0"/>
  </r>
  <r>
    <x v="79"/>
    <x v="3"/>
    <n v="1000"/>
    <n v="0"/>
  </r>
  <r>
    <x v="81"/>
    <x v="3"/>
    <n v="1000"/>
    <n v="0"/>
  </r>
  <r>
    <x v="100"/>
    <x v="3"/>
    <n v="1000"/>
    <n v="0"/>
  </r>
  <r>
    <x v="101"/>
    <x v="3"/>
    <n v="1000"/>
    <n v="0"/>
  </r>
  <r>
    <x v="102"/>
    <x v="3"/>
    <n v="1080"/>
    <n v="0"/>
  </r>
  <r>
    <x v="88"/>
    <x v="3"/>
    <n v="1000"/>
    <n v="0"/>
  </r>
  <r>
    <x v="103"/>
    <x v="3"/>
    <n v="1000"/>
    <n v="0"/>
  </r>
  <r>
    <x v="104"/>
    <x v="3"/>
    <n v="1000"/>
    <n v="0"/>
  </r>
  <r>
    <x v="0"/>
    <x v="4"/>
    <n v="1000"/>
    <n v="182"/>
  </r>
  <r>
    <x v="0"/>
    <x v="4"/>
    <n v="1010"/>
    <n v="0"/>
  </r>
  <r>
    <x v="0"/>
    <x v="4"/>
    <n v="1098"/>
    <n v="0"/>
  </r>
  <r>
    <x v="1"/>
    <x v="4"/>
    <n v="1000"/>
    <n v="0"/>
  </r>
  <r>
    <x v="5"/>
    <x v="4"/>
    <n v="1000"/>
    <n v="68582"/>
  </r>
  <r>
    <x v="5"/>
    <x v="4"/>
    <n v="1010"/>
    <n v="0"/>
  </r>
  <r>
    <x v="6"/>
    <x v="4"/>
    <n v="1000"/>
    <n v="0"/>
  </r>
  <r>
    <x v="6"/>
    <x v="4"/>
    <n v="1010"/>
    <n v="0"/>
  </r>
  <r>
    <x v="8"/>
    <x v="4"/>
    <n v="1000"/>
    <n v="0"/>
  </r>
  <r>
    <x v="9"/>
    <x v="4"/>
    <n v="1000"/>
    <n v="0"/>
  </r>
  <r>
    <x v="10"/>
    <x v="4"/>
    <n v="1000"/>
    <n v="0"/>
  </r>
  <r>
    <x v="15"/>
    <x v="4"/>
    <n v="1000"/>
    <n v="0"/>
  </r>
  <r>
    <x v="25"/>
    <x v="4"/>
    <n v="1000"/>
    <n v="0"/>
  </r>
  <r>
    <x v="28"/>
    <x v="4"/>
    <n v="1000"/>
    <n v="0"/>
  </r>
  <r>
    <x v="28"/>
    <x v="4"/>
    <n v="1010"/>
    <n v="0"/>
  </r>
  <r>
    <x v="29"/>
    <x v="4"/>
    <n v="1000"/>
    <n v="0"/>
  </r>
  <r>
    <x v="29"/>
    <x v="4"/>
    <n v="1010"/>
    <n v="0"/>
  </r>
  <r>
    <x v="29"/>
    <x v="4"/>
    <n v="1098"/>
    <n v="0"/>
  </r>
  <r>
    <x v="31"/>
    <x v="4"/>
    <n v="1000"/>
    <n v="0"/>
  </r>
  <r>
    <x v="31"/>
    <x v="4"/>
    <n v="1010"/>
    <n v="0"/>
  </r>
  <r>
    <x v="35"/>
    <x v="4"/>
    <n v="1000"/>
    <n v="0"/>
  </r>
  <r>
    <x v="38"/>
    <x v="4"/>
    <n v="1000"/>
    <n v="0"/>
  </r>
  <r>
    <x v="40"/>
    <x v="4"/>
    <n v="1000"/>
    <n v="0"/>
  </r>
  <r>
    <x v="40"/>
    <x v="4"/>
    <n v="1010"/>
    <n v="0"/>
  </r>
  <r>
    <x v="41"/>
    <x v="4"/>
    <n v="1000"/>
    <n v="0"/>
  </r>
  <r>
    <x v="41"/>
    <x v="4"/>
    <n v="1010"/>
    <n v="0"/>
  </r>
  <r>
    <x v="42"/>
    <x v="4"/>
    <n v="1000"/>
    <n v="0"/>
  </r>
  <r>
    <x v="43"/>
    <x v="4"/>
    <n v="1000"/>
    <n v="0"/>
  </r>
  <r>
    <x v="52"/>
    <x v="4"/>
    <n v="1000"/>
    <n v="0"/>
  </r>
  <r>
    <x v="52"/>
    <x v="4"/>
    <n v="1010"/>
    <n v="0"/>
  </r>
  <r>
    <x v="61"/>
    <x v="4"/>
    <n v="1000"/>
    <n v="0"/>
  </r>
  <r>
    <x v="61"/>
    <x v="4"/>
    <n v="1010"/>
    <n v="0"/>
  </r>
  <r>
    <x v="62"/>
    <x v="4"/>
    <n v="1000"/>
    <n v="30374"/>
  </r>
  <r>
    <x v="63"/>
    <x v="4"/>
    <n v="1000"/>
    <n v="0"/>
  </r>
  <r>
    <x v="63"/>
    <x v="4"/>
    <n v="1010"/>
    <n v="0"/>
  </r>
  <r>
    <x v="63"/>
    <x v="4"/>
    <n v="1098"/>
    <n v="0"/>
  </r>
  <r>
    <x v="66"/>
    <x v="4"/>
    <n v="1000"/>
    <n v="0"/>
  </r>
  <r>
    <x v="105"/>
    <x v="4"/>
    <n v="1010"/>
    <n v="0"/>
  </r>
  <r>
    <x v="0"/>
    <x v="0"/>
    <n v="10"/>
    <n v="0"/>
  </r>
  <r>
    <x v="0"/>
    <x v="0"/>
    <n v="30"/>
    <n v="0"/>
  </r>
  <r>
    <x v="0"/>
    <x v="0"/>
    <n v="110"/>
    <n v="0"/>
  </r>
  <r>
    <x v="0"/>
    <x v="0"/>
    <n v="210"/>
    <n v="0"/>
  </r>
  <r>
    <x v="0"/>
    <x v="1"/>
    <n v="10"/>
    <n v="0"/>
  </r>
  <r>
    <x v="0"/>
    <x v="1"/>
    <n v="110"/>
    <n v="0"/>
  </r>
  <r>
    <x v="0"/>
    <x v="1"/>
    <n v="210"/>
    <n v="0"/>
  </r>
  <r>
    <x v="0"/>
    <x v="1"/>
    <n v="230"/>
    <n v="0"/>
  </r>
  <r>
    <x v="0"/>
    <x v="2"/>
    <n v="110"/>
    <n v="0"/>
  </r>
  <r>
    <x v="0"/>
    <x v="2"/>
    <n v="240"/>
    <n v="0"/>
  </r>
  <r>
    <x v="0"/>
    <x v="3"/>
    <n v="1"/>
    <n v="0"/>
  </r>
  <r>
    <x v="0"/>
    <x v="3"/>
    <n v="10"/>
    <n v="0"/>
  </r>
  <r>
    <x v="0"/>
    <x v="3"/>
    <n v="30"/>
    <n v="0"/>
  </r>
  <r>
    <x v="0"/>
    <x v="3"/>
    <n v="110"/>
    <n v="0"/>
  </r>
  <r>
    <x v="105"/>
    <x v="4"/>
    <n v="101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8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F1:Y115" firstHeaderRow="1" firstDataRow="2" firstDataCol="1"/>
  <pivotFields count="5">
    <pivotField axis="axisRow" compact="0" outline="0" subtotalTop="0" showAll="0" includeNewItemsInFilter="1">
      <items count="113"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7"/>
        <item x="37"/>
        <item x="38"/>
        <item x="39"/>
        <item x="40"/>
        <item x="41"/>
        <item x="42"/>
        <item x="44"/>
        <item x="45"/>
        <item x="46"/>
        <item x="47"/>
        <item x="49"/>
        <item x="54"/>
        <item x="55"/>
        <item x="57"/>
        <item x="58"/>
        <item x="59"/>
        <item x="60"/>
        <item x="61"/>
        <item x="62"/>
        <item x="64"/>
        <item x="65"/>
        <item x="68"/>
        <item x="69"/>
        <item x="70"/>
        <item x="71"/>
        <item x="28"/>
        <item x="29"/>
        <item x="30"/>
        <item x="31"/>
        <item x="32"/>
        <item x="33"/>
        <item x="34"/>
        <item x="35"/>
        <item x="66"/>
        <item x="56"/>
        <item x="85"/>
        <item x="43"/>
        <item x="63"/>
        <item x="26"/>
        <item x="67"/>
        <item x="72"/>
        <item x="73"/>
        <item x="74"/>
        <item x="75"/>
        <item x="76"/>
        <item x="77"/>
        <item x="78"/>
        <item x="79"/>
        <item x="80"/>
        <item x="81"/>
        <item x="82"/>
        <item x="89"/>
        <item x="90"/>
        <item x="91"/>
        <item x="92"/>
        <item x="93"/>
        <item x="94"/>
        <item x="95"/>
        <item x="97"/>
        <item x="98"/>
        <item x="50"/>
        <item x="51"/>
        <item x="52"/>
        <item x="24"/>
        <item x="84"/>
        <item x="83"/>
        <item x="53"/>
        <item x="88"/>
        <item x="111"/>
        <item x="25"/>
        <item x="48"/>
        <item x="6"/>
        <item x="86"/>
        <item x="36"/>
        <item x="87"/>
        <item x="96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axis="axisCol" compact="0" outline="0" subtotalTop="0" showAll="0" includeNewItemsInFilter="1">
      <items count="19">
        <item x="0"/>
        <item x="1"/>
        <item x="2"/>
        <item x="3"/>
        <item x="4"/>
        <item x="17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1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 t="grand">
      <x/>
    </i>
  </rowItems>
  <colFields count="1">
    <field x="1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Sum of ADJBAL" fld="4" baseField="0" baseItem="0"/>
  </dataFields>
  <formats count="1">
    <format dxfId="1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9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E1:K109" firstHeaderRow="1" firstDataRow="2" firstDataCol="1"/>
  <pivotFields count="4">
    <pivotField axis="axisRow" compact="0" outline="0" subtotalTop="0" showAll="0" includeNewItemsInFilter="1">
      <items count="107">
        <item x="0"/>
        <item x="92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8"/>
        <item x="19"/>
        <item x="20"/>
        <item x="24"/>
        <item x="33"/>
        <item x="34"/>
        <item x="35"/>
        <item x="37"/>
        <item x="38"/>
        <item x="40"/>
        <item x="41"/>
        <item x="42"/>
        <item x="43"/>
        <item x="44"/>
        <item x="49"/>
        <item x="50"/>
        <item x="51"/>
        <item x="52"/>
        <item x="53"/>
        <item x="55"/>
        <item x="56"/>
        <item x="57"/>
        <item x="58"/>
        <item x="61"/>
        <item x="63"/>
        <item x="64"/>
        <item x="77"/>
        <item x="78"/>
        <item x="79"/>
        <item x="80"/>
        <item x="81"/>
        <item x="36"/>
        <item x="54"/>
        <item x="62"/>
        <item x="17"/>
        <item x="25"/>
        <item x="26"/>
        <item x="27"/>
        <item x="30"/>
        <item x="29"/>
        <item x="28"/>
        <item x="31"/>
        <item x="93"/>
        <item x="59"/>
        <item x="105"/>
        <item x="89"/>
        <item x="82"/>
        <item x="83"/>
        <item x="84"/>
        <item x="88"/>
        <item x="32"/>
        <item x="23"/>
        <item x="60"/>
        <item x="39"/>
        <item x="86"/>
        <item x="87"/>
        <item x="91"/>
        <item x="68"/>
        <item x="75"/>
        <item x="66"/>
        <item x="67"/>
        <item x="69"/>
        <item x="70"/>
        <item x="71"/>
        <item x="74"/>
        <item x="65"/>
        <item x="72"/>
        <item x="73"/>
        <item x="45"/>
        <item x="47"/>
        <item x="46"/>
        <item x="103"/>
        <item x="21"/>
        <item x="90"/>
        <item x="97"/>
        <item x="48"/>
        <item x="85"/>
        <item x="76"/>
        <item x="95"/>
        <item x="98"/>
        <item x="94"/>
        <item x="101"/>
        <item x="100"/>
        <item x="96"/>
        <item x="99"/>
        <item x="104"/>
        <item x="22"/>
        <item x="102"/>
        <item t="default"/>
      </items>
    </pivotField>
    <pivotField axis="axisCol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1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LBS_UPDATED" fld="3" baseField="0" baseItem="0"/>
  </dataFields>
  <formats count="1">
    <format dxfId="0">
      <pivotArea type="all" dataOnly="0" outline="0" fieldPosition="0"/>
    </format>
  </format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position" fillFormulas="1" connectionId="1" autoFormatId="16" applyNumberFormats="0" applyBorderFormats="0" applyFontFormats="1" applyPatternFormats="1" applyAlignmentFormats="0" applyWidthHeightFormats="0">
  <queryTableRefresh nextId="6">
    <queryTableFields count="5">
      <queryTableField id="1" name="BRANCH_NUMBER"/>
      <queryTableField id="2" name="COMMODITY_CODE"/>
      <queryTableField id="3" name="DPR_POSITION"/>
      <queryTableField id="4" name="LBS_LIVE"/>
      <queryTableField id="5" dataBound="0" fillFormulas="1"/>
    </queryTableFields>
  </queryTableRefresh>
</queryTable>
</file>

<file path=xl/queryTables/queryTable2.xml><?xml version="1.0" encoding="utf-8"?>
<queryTable xmlns="http://schemas.openxmlformats.org/spreadsheetml/2006/main" name="Query from moundridge" connectionId="2" autoFormatId="16" applyNumberFormats="0" applyBorderFormats="0" applyFontFormats="1" applyPatternFormats="1" applyAlignmentFormats="0" applyWidthHeightFormats="0">
  <queryTableRefresh nextId="5">
    <queryTableFields count="4">
      <queryTableField id="1" name="BRANCH_NUMBER"/>
      <queryTableField id="2" name="COMMODITY_CODE"/>
      <queryTableField id="3" name="DPR_POSITION"/>
      <queryTableField id="4" name="LBS_UPDATED"/>
    </queryTableFields>
  </queryTableRefresh>
</queryTable>
</file>

<file path=xl/revisions/_rels/revisionHeaders.xml.rels><?xml version="1.0" encoding="UTF-8" standalone="yes"?>
<Relationships xmlns="http://schemas.openxmlformats.org/package/2006/relationships"><Relationship Id="rId24" Type="http://schemas.openxmlformats.org/officeDocument/2006/relationships/revisionLog" Target="revisionLog2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9F59840-FEB4-42AE-AF97-B7635168DA9F}" diskRevisions="1" revisionId="4287" version="14">
  <header guid="{19F59840-FEB4-42AE-AF97-B7635168DA9F}" dateTime="2017-03-06T15:40:45" maxSheetId="12" userName="Mandie Lyons" r:id="rId24" minRId="3580" maxRId="4287">
    <sheetIdMap count="11">
      <sheetId val="1"/>
      <sheetId val="2"/>
      <sheetId val="3"/>
      <sheetId val="4"/>
      <sheetId val="5"/>
      <sheetId val="6"/>
      <sheetId val="11"/>
      <sheetId val="10"/>
      <sheetId val="7"/>
      <sheetId val="8"/>
      <sheetId val="9"/>
    </sheetIdMap>
  </header>
</header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80" sId="11" numFmtId="34">
    <nc r="BB27">
      <v>0</v>
    </nc>
  </rcc>
  <rfmt sheetId="11" sqref="BB27">
    <dxf>
      <numFmt numFmtId="3" formatCode="#,##0"/>
    </dxf>
  </rfmt>
  <rcc rId="3581" sId="11" numFmtId="34">
    <nc r="BB29">
      <v>0</v>
    </nc>
  </rcc>
  <rfmt sheetId="11" sqref="BB29">
    <dxf>
      <numFmt numFmtId="3" formatCode="#,##0"/>
    </dxf>
  </rfmt>
  <rcc rId="3582" sId="11" odxf="1" dxf="1" numFmtId="4">
    <nc r="BB30">
      <v>0</v>
    </nc>
    <odxf>
      <numFmt numFmtId="164" formatCode="_(* #,##0_);_(* \(#,##0\);_(* &quot;-&quot;??_);_(@_)"/>
    </odxf>
    <ndxf>
      <numFmt numFmtId="3" formatCode="#,##0"/>
    </ndxf>
  </rcc>
  <rcc rId="3583" sId="11" odxf="1" dxf="1" numFmtId="4">
    <nc r="BB31">
      <v>0</v>
    </nc>
    <odxf>
      <numFmt numFmtId="164" formatCode="_(* #,##0_);_(* \(#,##0\);_(* &quot;-&quot;??_);_(@_)"/>
    </odxf>
    <ndxf>
      <numFmt numFmtId="3" formatCode="#,##0"/>
    </ndxf>
  </rcc>
  <rcc rId="3584" sId="11" numFmtId="34">
    <nc r="BB34">
      <v>0</v>
    </nc>
  </rcc>
  <rfmt sheetId="11" sqref="BB34">
    <dxf>
      <numFmt numFmtId="3" formatCode="#,##0"/>
    </dxf>
  </rfmt>
  <rcc rId="3585" sId="11" odxf="1" dxf="1" numFmtId="4">
    <nc r="BB35">
      <v>0</v>
    </nc>
    <odxf>
      <numFmt numFmtId="164" formatCode="_(* #,##0_);_(* \(#,##0\);_(* &quot;-&quot;??_);_(@_)"/>
    </odxf>
    <ndxf>
      <numFmt numFmtId="3" formatCode="#,##0"/>
    </ndxf>
  </rcc>
  <rcc rId="3586" sId="11" odxf="1" dxf="1" numFmtId="4">
    <nc r="BB36">
      <v>0</v>
    </nc>
    <odxf>
      <numFmt numFmtId="164" formatCode="_(* #,##0_);_(* \(#,##0\);_(* &quot;-&quot;??_);_(@_)"/>
    </odxf>
    <ndxf>
      <numFmt numFmtId="3" formatCode="#,##0"/>
    </ndxf>
  </rcc>
  <rcc rId="3587" sId="11" odxf="1" dxf="1" numFmtId="4">
    <nc r="BB37">
      <v>0</v>
    </nc>
    <odxf>
      <numFmt numFmtId="164" formatCode="_(* #,##0_);_(* \(#,##0\);_(* &quot;-&quot;??_);_(@_)"/>
    </odxf>
    <ndxf>
      <numFmt numFmtId="3" formatCode="#,##0"/>
    </ndxf>
  </rcc>
  <rcc rId="3588" sId="11" odxf="1" dxf="1" numFmtId="4">
    <nc r="BB38">
      <v>0</v>
    </nc>
    <odxf>
      <numFmt numFmtId="164" formatCode="_(* #,##0_);_(* \(#,##0\);_(* &quot;-&quot;??_);_(@_)"/>
    </odxf>
    <ndxf>
      <numFmt numFmtId="3" formatCode="#,##0"/>
    </ndxf>
  </rcc>
  <rcc rId="3589" sId="11" odxf="1" dxf="1" numFmtId="4">
    <nc r="BB39">
      <v>0</v>
    </nc>
    <odxf>
      <numFmt numFmtId="164" formatCode="_(* #,##0_);_(* \(#,##0\);_(* &quot;-&quot;??_);_(@_)"/>
    </odxf>
    <ndxf>
      <numFmt numFmtId="3" formatCode="#,##0"/>
    </ndxf>
  </rcc>
  <rcc rId="3590" sId="11" odxf="1" s="1" dxf="1" numFmtId="4">
    <nc r="BB40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odxf>
    <ndxf>
      <font>
        <sz val="10"/>
        <color auto="1"/>
        <name val="Arial"/>
        <family val="2"/>
        <scheme val="none"/>
      </font>
      <numFmt numFmtId="3" formatCode="#,##0"/>
    </ndxf>
  </rcc>
  <rcc rId="3591" sId="11" odxf="1" dxf="1" numFmtId="4">
    <nc r="BB41">
      <v>0</v>
    </nc>
    <odxf>
      <numFmt numFmtId="164" formatCode="_(* #,##0_);_(* \(#,##0\);_(* &quot;-&quot;??_);_(@_)"/>
    </odxf>
    <ndxf>
      <numFmt numFmtId="3" formatCode="#,##0"/>
    </ndxf>
  </rcc>
  <rcc rId="3592" sId="11" odxf="1" dxf="1" numFmtId="4">
    <nc r="BB42">
      <v>0</v>
    </nc>
    <odxf>
      <numFmt numFmtId="164" formatCode="_(* #,##0_);_(* \(#,##0\);_(* &quot;-&quot;??_);_(@_)"/>
    </odxf>
    <ndxf>
      <numFmt numFmtId="3" formatCode="#,##0"/>
    </ndxf>
  </rcc>
  <rcc rId="3593" sId="11" odxf="1" dxf="1" numFmtId="4">
    <nc r="BB43">
      <v>0</v>
    </nc>
    <odxf>
      <numFmt numFmtId="164" formatCode="_(* #,##0_);_(* \(#,##0\);_(* &quot;-&quot;??_);_(@_)"/>
    </odxf>
    <ndxf>
      <numFmt numFmtId="3" formatCode="#,##0"/>
    </ndxf>
  </rcc>
  <rcc rId="3594" sId="11" odxf="1" dxf="1" numFmtId="4">
    <nc r="BB44">
      <v>0</v>
    </nc>
    <odxf>
      <numFmt numFmtId="164" formatCode="_(* #,##0_);_(* \(#,##0\);_(* &quot;-&quot;??_);_(@_)"/>
    </odxf>
    <ndxf>
      <numFmt numFmtId="3" formatCode="#,##0"/>
    </ndxf>
  </rcc>
  <rcc rId="3595" sId="11" odxf="1" dxf="1" numFmtId="4">
    <nc r="BB45">
      <v>0</v>
    </nc>
    <odxf>
      <numFmt numFmtId="164" formatCode="_(* #,##0_);_(* \(#,##0\);_(* &quot;-&quot;??_);_(@_)"/>
    </odxf>
    <ndxf>
      <numFmt numFmtId="3" formatCode="#,##0"/>
    </ndxf>
  </rcc>
  <rcc rId="3596" sId="11" odxf="1" dxf="1" numFmtId="4">
    <nc r="BB46">
      <v>0</v>
    </nc>
    <odxf>
      <numFmt numFmtId="164" formatCode="_(* #,##0_);_(* \(#,##0\);_(* &quot;-&quot;??_);_(@_)"/>
    </odxf>
    <ndxf>
      <numFmt numFmtId="3" formatCode="#,##0"/>
    </ndxf>
  </rcc>
  <rcc rId="3597" sId="11" odxf="1" dxf="1" numFmtId="4">
    <nc r="BB47">
      <v>0</v>
    </nc>
    <odxf>
      <numFmt numFmtId="164" formatCode="_(* #,##0_);_(* \(#,##0\);_(* &quot;-&quot;??_);_(@_)"/>
    </odxf>
    <ndxf>
      <numFmt numFmtId="3" formatCode="#,##0"/>
    </ndxf>
  </rcc>
  <rcc rId="3598" sId="11" odxf="1" dxf="1" numFmtId="4">
    <nc r="BB48">
      <v>0</v>
    </nc>
    <odxf>
      <numFmt numFmtId="164" formatCode="_(* #,##0_);_(* \(#,##0\);_(* &quot;-&quot;??_);_(@_)"/>
    </odxf>
    <ndxf>
      <numFmt numFmtId="3" formatCode="#,##0"/>
    </ndxf>
  </rcc>
  <rcc rId="3599" sId="11" odxf="1" dxf="1" numFmtId="4">
    <nc r="BB49">
      <v>0</v>
    </nc>
    <odxf>
      <font>
        <color theme="1"/>
        <family val="2"/>
      </font>
      <numFmt numFmtId="164" formatCode="_(* #,##0_);_(* \(#,##0\);_(* &quot;-&quot;??_);_(@_)"/>
    </odxf>
    <ndxf>
      <font>
        <sz val="10"/>
        <color auto="1"/>
        <name val="Arial"/>
        <family val="2"/>
        <scheme val="none"/>
      </font>
      <numFmt numFmtId="3" formatCode="#,##0"/>
    </ndxf>
  </rcc>
  <rcc rId="3600" sId="11" odxf="1" dxf="1" numFmtId="4">
    <nc r="BB50">
      <v>0</v>
    </nc>
    <odxf>
      <font>
        <color theme="1"/>
        <family val="2"/>
      </font>
      <numFmt numFmtId="164" formatCode="_(* #,##0_);_(* \(#,##0\);_(* &quot;-&quot;??_);_(@_)"/>
    </odxf>
    <ndxf>
      <font>
        <sz val="10"/>
        <color auto="1"/>
        <name val="Arial"/>
        <family val="2"/>
        <scheme val="none"/>
      </font>
      <numFmt numFmtId="3" formatCode="#,##0"/>
    </ndxf>
  </rcc>
  <rcc rId="3601" sId="11" odxf="1" dxf="1" numFmtId="4">
    <nc r="BB51">
      <v>0</v>
    </nc>
    <odxf>
      <numFmt numFmtId="164" formatCode="_(* #,##0_);_(* \(#,##0\);_(* &quot;-&quot;??_);_(@_)"/>
    </odxf>
    <ndxf>
      <numFmt numFmtId="3" formatCode="#,##0"/>
    </ndxf>
  </rcc>
  <rcc rId="3602" sId="11" odxf="1" dxf="1" numFmtId="4">
    <nc r="BB52">
      <v>0</v>
    </nc>
    <odxf>
      <numFmt numFmtId="164" formatCode="_(* #,##0_);_(* \(#,##0\);_(* &quot;-&quot;??_);_(@_)"/>
    </odxf>
    <ndxf>
      <numFmt numFmtId="3" formatCode="#,##0"/>
    </ndxf>
  </rcc>
  <rcc rId="3603" sId="11" odxf="1" dxf="1" numFmtId="4">
    <nc r="BB53">
      <v>0</v>
    </nc>
    <odxf>
      <numFmt numFmtId="164" formatCode="_(* #,##0_);_(* \(#,##0\);_(* &quot;-&quot;??_);_(@_)"/>
    </odxf>
    <ndxf>
      <numFmt numFmtId="3" formatCode="#,##0"/>
    </ndxf>
  </rcc>
  <rcc rId="3604" sId="11" odxf="1" dxf="1" numFmtId="4">
    <nc r="BB54">
      <v>0</v>
    </nc>
    <odxf>
      <numFmt numFmtId="164" formatCode="_(* #,##0_);_(* \(#,##0\);_(* &quot;-&quot;??_);_(@_)"/>
    </odxf>
    <ndxf>
      <numFmt numFmtId="3" formatCode="#,##0"/>
    </ndxf>
  </rcc>
  <rcc rId="3605" sId="11" odxf="1" dxf="1" numFmtId="4">
    <nc r="BB55">
      <v>0</v>
    </nc>
    <odxf>
      <numFmt numFmtId="164" formatCode="_(* #,##0_);_(* \(#,##0\);_(* &quot;-&quot;??_);_(@_)"/>
    </odxf>
    <ndxf>
      <numFmt numFmtId="3" formatCode="#,##0"/>
    </ndxf>
  </rcc>
  <rcc rId="3606" sId="11" odxf="1" dxf="1" numFmtId="4">
    <nc r="BB56">
      <v>0</v>
    </nc>
    <odxf>
      <font>
        <color theme="1"/>
        <family val="2"/>
      </font>
      <numFmt numFmtId="164" formatCode="_(* #,##0_);_(* \(#,##0\);_(* &quot;-&quot;??_);_(@_)"/>
    </odxf>
    <ndxf>
      <font>
        <sz val="10"/>
        <color auto="1"/>
        <name val="Arial"/>
        <family val="2"/>
        <scheme val="none"/>
      </font>
      <numFmt numFmtId="3" formatCode="#,##0"/>
    </ndxf>
  </rcc>
  <rcc rId="3607" sId="11" odxf="1" dxf="1" numFmtId="4">
    <nc r="BB57">
      <v>0</v>
    </nc>
    <odxf>
      <font>
        <color theme="1"/>
        <family val="2"/>
      </font>
      <numFmt numFmtId="164" formatCode="_(* #,##0_);_(* \(#,##0\);_(* &quot;-&quot;??_);_(@_)"/>
    </odxf>
    <ndxf>
      <font>
        <sz val="10"/>
        <color auto="1"/>
        <name val="Arial"/>
        <family val="2"/>
        <scheme val="none"/>
      </font>
      <numFmt numFmtId="3" formatCode="#,##0"/>
    </ndxf>
  </rcc>
  <rcc rId="3608" sId="11" odxf="1" dxf="1" numFmtId="4">
    <nc r="BB58">
      <v>0</v>
    </nc>
    <odxf>
      <numFmt numFmtId="164" formatCode="_(* #,##0_);_(* \(#,##0\);_(* &quot;-&quot;??_);_(@_)"/>
    </odxf>
    <ndxf>
      <numFmt numFmtId="3" formatCode="#,##0"/>
    </ndxf>
  </rcc>
  <rcc rId="3609" sId="11" odxf="1" dxf="1" numFmtId="4">
    <nc r="BB59">
      <v>0</v>
    </nc>
    <odxf>
      <font>
        <color theme="1"/>
        <family val="2"/>
      </font>
      <numFmt numFmtId="164" formatCode="_(* #,##0_);_(* \(#,##0\);_(* &quot;-&quot;??_);_(@_)"/>
    </odxf>
    <ndxf>
      <font>
        <sz val="10"/>
        <color auto="1"/>
        <name val="Arial"/>
        <family val="2"/>
        <scheme val="none"/>
      </font>
      <numFmt numFmtId="3" formatCode="#,##0"/>
    </ndxf>
  </rcc>
  <rcc rId="3610" sId="11" odxf="1" dxf="1" numFmtId="4">
    <nc r="BB60">
      <v>0</v>
    </nc>
    <odxf>
      <numFmt numFmtId="164" formatCode="_(* #,##0_);_(* \(#,##0\);_(* &quot;-&quot;??_);_(@_)"/>
    </odxf>
    <ndxf>
      <numFmt numFmtId="3" formatCode="#,##0"/>
    </ndxf>
  </rcc>
  <rcc rId="3611" sId="11" odxf="1" dxf="1" numFmtId="4">
    <nc r="BB61">
      <v>0</v>
    </nc>
    <odxf>
      <font>
        <color theme="1"/>
        <family val="2"/>
      </font>
      <numFmt numFmtId="164" formatCode="_(* #,##0_);_(* \(#,##0\);_(* &quot;-&quot;??_);_(@_)"/>
    </odxf>
    <ndxf>
      <font>
        <sz val="10"/>
        <color auto="1"/>
        <name val="Arial"/>
        <family val="2"/>
        <scheme val="none"/>
      </font>
      <numFmt numFmtId="3" formatCode="#,##0"/>
    </ndxf>
  </rcc>
  <rcc rId="3612" sId="11" odxf="1" dxf="1" numFmtId="4">
    <nc r="BB62">
      <v>0</v>
    </nc>
    <odxf>
      <font>
        <color theme="1"/>
        <family val="2"/>
      </font>
      <numFmt numFmtId="164" formatCode="_(* #,##0_);_(* \(#,##0\);_(* &quot;-&quot;??_);_(@_)"/>
    </odxf>
    <ndxf>
      <font>
        <sz val="10"/>
        <color auto="1"/>
        <name val="Arial"/>
        <family val="2"/>
        <scheme val="none"/>
      </font>
      <numFmt numFmtId="3" formatCode="#,##0"/>
    </ndxf>
  </rcc>
  <rcc rId="3613" sId="11" odxf="1" s="1" dxf="1" numFmtId="4">
    <nc r="BB63">
      <v>0</v>
    </nc>
    <o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family val="2"/>
        <scheme val="none"/>
      </font>
      <numFmt numFmtId="3" formatCode="#,##0"/>
      <protection locked="0"/>
    </ndxf>
  </rcc>
  <rcc rId="3614" sId="11" odxf="1" dxf="1" numFmtId="4">
    <nc r="BB64">
      <v>0</v>
    </nc>
    <odxf>
      <numFmt numFmtId="164" formatCode="_(* #,##0_);_(* \(#,##0\);_(* &quot;-&quot;??_);_(@_)"/>
    </odxf>
    <ndxf>
      <numFmt numFmtId="3" formatCode="#,##0"/>
    </ndxf>
  </rcc>
  <rcc rId="3615" sId="11" odxf="1" dxf="1" numFmtId="4">
    <nc r="BB65">
      <v>0</v>
    </nc>
    <odxf>
      <numFmt numFmtId="164" formatCode="_(* #,##0_);_(* \(#,##0\);_(* &quot;-&quot;??_);_(@_)"/>
    </odxf>
    <ndxf>
      <numFmt numFmtId="3" formatCode="#,##0"/>
    </ndxf>
  </rcc>
  <rcc rId="3616" sId="11" odxf="1" dxf="1" numFmtId="4">
    <nc r="BB66">
      <v>0</v>
    </nc>
    <odxf>
      <numFmt numFmtId="164" formatCode="_(* #,##0_);_(* \(#,##0\);_(* &quot;-&quot;??_);_(@_)"/>
    </odxf>
    <ndxf>
      <numFmt numFmtId="3" formatCode="#,##0"/>
    </ndxf>
  </rcc>
  <rcc rId="3617" sId="11" odxf="1" dxf="1" numFmtId="4">
    <nc r="BB67">
      <v>0</v>
    </nc>
    <odxf>
      <numFmt numFmtId="164" formatCode="_(* #,##0_);_(* \(#,##0\);_(* &quot;-&quot;??_);_(@_)"/>
    </odxf>
    <ndxf>
      <numFmt numFmtId="3" formatCode="#,##0"/>
    </ndxf>
  </rcc>
  <rcc rId="3618" sId="11" odxf="1" dxf="1" numFmtId="4">
    <nc r="BB68">
      <v>0</v>
    </nc>
    <odxf>
      <numFmt numFmtId="164" formatCode="_(* #,##0_);_(* \(#,##0\);_(* &quot;-&quot;??_);_(@_)"/>
      <fill>
        <patternFill patternType="solid">
          <bgColor rgb="FFFFFF00"/>
        </patternFill>
      </fill>
    </odxf>
    <ndxf>
      <numFmt numFmtId="3" formatCode="#,##0"/>
      <fill>
        <patternFill patternType="none">
          <bgColor indexed="65"/>
        </patternFill>
      </fill>
    </ndxf>
  </rcc>
  <rcc rId="3619" sId="11" odxf="1" dxf="1" numFmtId="4">
    <nc r="BB69">
      <v>0</v>
    </nc>
    <odxf>
      <numFmt numFmtId="164" formatCode="_(* #,##0_);_(* \(#,##0\);_(* &quot;-&quot;??_);_(@_)"/>
    </odxf>
    <ndxf>
      <numFmt numFmtId="3" formatCode="#,##0"/>
    </ndxf>
  </rcc>
  <rcc rId="3620" sId="11" odxf="1" dxf="1" numFmtId="4">
    <nc r="BB70">
      <v>0</v>
    </nc>
    <odxf>
      <numFmt numFmtId="164" formatCode="_(* #,##0_);_(* \(#,##0\);_(* &quot;-&quot;??_);_(@_)"/>
    </odxf>
    <ndxf>
      <numFmt numFmtId="3" formatCode="#,##0"/>
    </ndxf>
  </rcc>
  <rcc rId="3621" sId="11" odxf="1" dxf="1" numFmtId="4">
    <nc r="BB71">
      <v>0</v>
    </nc>
    <odxf>
      <numFmt numFmtId="164" formatCode="_(* #,##0_);_(* \(#,##0\);_(* &quot;-&quot;??_);_(@_)"/>
    </odxf>
    <ndxf>
      <numFmt numFmtId="3" formatCode="#,##0"/>
    </ndxf>
  </rcc>
  <rcc rId="3622" sId="11" odxf="1" dxf="1" numFmtId="4">
    <nc r="BB72">
      <v>0</v>
    </nc>
    <odxf>
      <numFmt numFmtId="164" formatCode="_(* #,##0_);_(* \(#,##0\);_(* &quot;-&quot;??_);_(@_)"/>
    </odxf>
    <ndxf>
      <numFmt numFmtId="3" formatCode="#,##0"/>
    </ndxf>
  </rcc>
  <rcc rId="3623" sId="11" numFmtId="34">
    <nc r="BB74">
      <v>0</v>
    </nc>
  </rcc>
  <rcc rId="3624" sId="11" numFmtId="34">
    <nc r="BB75">
      <v>0</v>
    </nc>
  </rcc>
  <rfmt sheetId="11" sqref="BB74:BB75">
    <dxf>
      <numFmt numFmtId="3" formatCode="#,##0"/>
    </dxf>
  </rfmt>
  <rcc rId="3625" sId="11">
    <nc r="BJ3">
      <v>0</v>
    </nc>
  </rcc>
  <rcc rId="3626" sId="11">
    <nc r="BJ4">
      <v>0</v>
    </nc>
  </rcc>
  <rcc rId="3627" sId="11">
    <nc r="BJ5">
      <v>0</v>
    </nc>
  </rcc>
  <rcc rId="3628" sId="11">
    <nc r="BJ6">
      <v>0</v>
    </nc>
  </rcc>
  <rcc rId="3629" sId="11">
    <nc r="BJ7">
      <v>0</v>
    </nc>
  </rcc>
  <rcc rId="3630" sId="11">
    <nc r="BJ8">
      <v>0</v>
    </nc>
  </rcc>
  <rcc rId="3631" sId="11">
    <nc r="BJ9">
      <v>0</v>
    </nc>
  </rcc>
  <rcc rId="3632" sId="11">
    <nc r="BJ10">
      <v>0</v>
    </nc>
  </rcc>
  <rcc rId="3633" sId="11">
    <nc r="BJ11">
      <v>0</v>
    </nc>
  </rcc>
  <rcc rId="3634" sId="11">
    <nc r="BJ12">
      <v>0</v>
    </nc>
  </rcc>
  <rcc rId="3635" sId="11">
    <nc r="BJ13">
      <v>0</v>
    </nc>
  </rcc>
  <rcc rId="3636" sId="11">
    <nc r="BJ14">
      <v>0</v>
    </nc>
  </rcc>
  <rcc rId="3637" sId="11">
    <nc r="BJ15">
      <v>0</v>
    </nc>
  </rcc>
  <rcc rId="3638" sId="11">
    <nc r="BJ16">
      <v>0</v>
    </nc>
  </rcc>
  <rcc rId="3639" sId="11">
    <nc r="BJ17">
      <v>0</v>
    </nc>
  </rcc>
  <rcc rId="3640" sId="11">
    <nc r="BJ18">
      <v>0</v>
    </nc>
  </rcc>
  <rcc rId="3641" sId="11">
    <nc r="BJ19">
      <v>0</v>
    </nc>
  </rcc>
  <rcc rId="3642" sId="11">
    <nc r="BJ20">
      <v>0</v>
    </nc>
  </rcc>
  <rcc rId="3643" sId="11">
    <nc r="BJ21">
      <v>0</v>
    </nc>
  </rcc>
  <rcc rId="3644" sId="11">
    <nc r="BJ22">
      <v>0</v>
    </nc>
  </rcc>
  <rcc rId="3645" sId="11">
    <nc r="BJ23">
      <v>0</v>
    </nc>
  </rcc>
  <rcc rId="3646" sId="11">
    <nc r="BJ24">
      <v>0</v>
    </nc>
  </rcc>
  <rcc rId="3647" sId="11">
    <nc r="BJ25">
      <v>0</v>
    </nc>
  </rcc>
  <rcc rId="3648" sId="11">
    <nc r="BJ26">
      <v>0</v>
    </nc>
  </rcc>
  <rcc rId="3649" sId="11">
    <nc r="BJ27">
      <v>0</v>
    </nc>
  </rcc>
  <rcc rId="3650" sId="11">
    <nc r="BJ28">
      <v>0</v>
    </nc>
  </rcc>
  <rcc rId="3651" sId="11">
    <nc r="BJ29">
      <v>0</v>
    </nc>
  </rcc>
  <rcc rId="3652" sId="11">
    <nc r="BJ30">
      <v>0</v>
    </nc>
  </rcc>
  <rcc rId="3653" sId="11">
    <nc r="BJ31">
      <v>0</v>
    </nc>
  </rcc>
  <rcc rId="3654" sId="11">
    <nc r="BJ32">
      <v>0</v>
    </nc>
  </rcc>
  <rcc rId="3655" sId="11">
    <nc r="BJ33">
      <v>0</v>
    </nc>
  </rcc>
  <rcc rId="3656" sId="11">
    <nc r="BJ34">
      <v>0</v>
    </nc>
  </rcc>
  <rcc rId="3657" sId="11">
    <nc r="BJ35">
      <v>0</v>
    </nc>
  </rcc>
  <rcc rId="3658" sId="11">
    <nc r="BJ36">
      <v>0</v>
    </nc>
  </rcc>
  <rcc rId="3659" sId="11">
    <nc r="BJ37">
      <v>0</v>
    </nc>
  </rcc>
  <rcc rId="3660" sId="11">
    <nc r="BJ38">
      <v>0</v>
    </nc>
  </rcc>
  <rcc rId="3661" sId="11">
    <nc r="BJ39">
      <v>0</v>
    </nc>
  </rcc>
  <rcc rId="3662" sId="11">
    <nc r="BJ40">
      <v>0</v>
    </nc>
  </rcc>
  <rcc rId="3663" sId="11">
    <nc r="BJ41">
      <v>0</v>
    </nc>
  </rcc>
  <rcc rId="3664" sId="11">
    <nc r="BJ42">
      <v>0</v>
    </nc>
  </rcc>
  <rcc rId="3665" sId="11">
    <nc r="BJ43">
      <v>0</v>
    </nc>
  </rcc>
  <rcc rId="3666" sId="11">
    <nc r="BJ44">
      <v>0</v>
    </nc>
  </rcc>
  <rcc rId="3667" sId="11">
    <nc r="BJ45">
      <v>0</v>
    </nc>
  </rcc>
  <rcc rId="3668" sId="11">
    <nc r="BJ46">
      <v>0</v>
    </nc>
  </rcc>
  <rcc rId="3669" sId="11">
    <nc r="BJ47">
      <v>0</v>
    </nc>
  </rcc>
  <rcc rId="3670" sId="11">
    <nc r="BJ48">
      <v>0</v>
    </nc>
  </rcc>
  <rcc rId="3671" sId="11">
    <nc r="BJ49">
      <v>0</v>
    </nc>
  </rcc>
  <rcc rId="3672" sId="11">
    <nc r="BJ50">
      <v>0</v>
    </nc>
  </rcc>
  <rcc rId="3673" sId="11">
    <nc r="BJ51">
      <v>0</v>
    </nc>
  </rcc>
  <rcc rId="3674" sId="11">
    <nc r="BJ52">
      <v>0</v>
    </nc>
  </rcc>
  <rcc rId="3675" sId="11">
    <nc r="BJ53">
      <v>0</v>
    </nc>
  </rcc>
  <rcc rId="3676" sId="11">
    <nc r="BJ54">
      <v>0</v>
    </nc>
  </rcc>
  <rcc rId="3677" sId="11">
    <nc r="BJ55">
      <v>0</v>
    </nc>
  </rcc>
  <rcc rId="3678" sId="11">
    <nc r="BJ56">
      <v>0</v>
    </nc>
  </rcc>
  <rcc rId="3679" sId="11">
    <nc r="BJ57">
      <v>0</v>
    </nc>
  </rcc>
  <rcc rId="3680" sId="11">
    <nc r="BJ58">
      <v>0</v>
    </nc>
  </rcc>
  <rcc rId="3681" sId="11">
    <nc r="BJ59">
      <v>0</v>
    </nc>
  </rcc>
  <rcc rId="3682" sId="11">
    <nc r="BJ60">
      <v>0</v>
    </nc>
  </rcc>
  <rcc rId="3683" sId="11">
    <nc r="BJ61">
      <v>0</v>
    </nc>
  </rcc>
  <rcc rId="3684" sId="11">
    <nc r="BJ62">
      <v>0</v>
    </nc>
  </rcc>
  <rcc rId="3685" sId="11">
    <nc r="BJ63">
      <v>0</v>
    </nc>
  </rcc>
  <rcc rId="3686" sId="11">
    <nc r="BJ64">
      <v>0</v>
    </nc>
  </rcc>
  <rcc rId="3687" sId="11">
    <nc r="BJ65">
      <v>0</v>
    </nc>
  </rcc>
  <rcc rId="3688" sId="11">
    <nc r="BJ66">
      <v>0</v>
    </nc>
  </rcc>
  <rcc rId="3689" sId="11">
    <nc r="BJ67">
      <v>0</v>
    </nc>
  </rcc>
  <rcc rId="3690" sId="11" odxf="1" dxf="1">
    <nc r="BJ68">
      <v>0</v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3691" sId="11">
    <nc r="BJ69">
      <v>0</v>
    </nc>
  </rcc>
  <rcc rId="3692" sId="11">
    <nc r="BJ70">
      <v>0</v>
    </nc>
  </rcc>
  <rcc rId="3693" sId="11">
    <nc r="BJ71">
      <v>0</v>
    </nc>
  </rcc>
  <rcc rId="3694" sId="11">
    <nc r="BJ72">
      <v>0</v>
    </nc>
  </rcc>
  <rcc rId="3695" sId="11">
    <nc r="BJ73">
      <v>0</v>
    </nc>
  </rcc>
  <rcc rId="3696" sId="11">
    <nc r="BJ74">
      <v>0</v>
    </nc>
  </rcc>
  <rcc rId="3697" sId="11">
    <nc r="BJ75">
      <v>0</v>
    </nc>
  </rcc>
  <rcc rId="3698" sId="11">
    <nc r="BJ76">
      <v>0</v>
    </nc>
  </rcc>
  <rcc rId="3699" sId="11">
    <nc r="BI3">
      <v>0</v>
    </nc>
  </rcc>
  <rcc rId="3700" sId="11">
    <nc r="BI4">
      <v>0</v>
    </nc>
  </rcc>
  <rcc rId="3701" sId="11">
    <nc r="BI6">
      <v>0</v>
    </nc>
  </rcc>
  <rcc rId="3702" sId="11">
    <nc r="BI8">
      <v>0</v>
    </nc>
  </rcc>
  <rcc rId="3703" sId="11">
    <nc r="BI9">
      <v>0</v>
    </nc>
  </rcc>
  <rcc rId="3704" sId="11">
    <nc r="BI10">
      <v>0</v>
    </nc>
  </rcc>
  <rcc rId="3705" sId="11" odxf="1" s="1" dxf="1">
    <nc r="BI11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odxf>
    <ndxf>
      <font>
        <sz val="10"/>
        <color auto="1"/>
        <name val="Arial"/>
        <scheme val="none"/>
      </font>
      <numFmt numFmtId="0" formatCode="General"/>
      <protection locked="1"/>
    </ndxf>
  </rcc>
  <rcc rId="3706" sId="11">
    <nc r="BI12">
      <v>0</v>
    </nc>
  </rcc>
  <rcc rId="3707" sId="11">
    <nc r="BI13">
      <v>0</v>
    </nc>
  </rcc>
  <rcc rId="3708" sId="11">
    <nc r="BI14">
      <v>0</v>
    </nc>
  </rcc>
  <rcc rId="3709" sId="11" odxf="1" s="1" dxf="1">
    <nc r="BI15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odxf>
    <ndxf>
      <font>
        <sz val="10"/>
        <color auto="1"/>
        <name val="Arial"/>
        <scheme val="none"/>
      </font>
      <numFmt numFmtId="0" formatCode="General"/>
      <protection locked="1"/>
    </ndxf>
  </rcc>
  <rcc rId="3710" sId="11">
    <nc r="BI17">
      <v>0</v>
    </nc>
  </rcc>
  <rcc rId="3711" sId="11">
    <nc r="BI18">
      <v>0</v>
    </nc>
  </rcc>
  <rcc rId="3712" sId="11">
    <nc r="BI19">
      <v>0</v>
    </nc>
  </rcc>
  <rcc rId="3713" sId="11">
    <nc r="BI20">
      <v>0</v>
    </nc>
  </rcc>
  <rcc rId="3714" sId="11">
    <nc r="BI21">
      <v>0</v>
    </nc>
  </rcc>
  <rcc rId="3715" sId="11">
    <nc r="BI22">
      <v>0</v>
    </nc>
  </rcc>
  <rcc rId="3716" sId="11" numFmtId="34">
    <nc r="BI24">
      <v>0</v>
    </nc>
  </rcc>
  <rfmt sheetId="11" sqref="BI24">
    <dxf>
      <numFmt numFmtId="3" formatCode="#,##0"/>
    </dxf>
  </rfmt>
  <rcc rId="3717" sId="11" odxf="1" s="1" dxf="1" numFmtId="4">
    <nc r="BI25">
      <v>0</v>
    </nc>
    <o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family val="2"/>
        <scheme val="none"/>
      </font>
      <numFmt numFmtId="3" formatCode="#,##0"/>
      <protection locked="0"/>
    </ndxf>
  </rcc>
  <rcc rId="3718" sId="11" odxf="1" dxf="1" numFmtId="4">
    <nc r="BI26">
      <v>0</v>
    </nc>
    <odxf>
      <numFmt numFmtId="164" formatCode="_(* #,##0_);_(* \(#,##0\);_(* &quot;-&quot;??_);_(@_)"/>
    </odxf>
    <ndxf>
      <numFmt numFmtId="3" formatCode="#,##0"/>
    </ndxf>
  </rcc>
  <rcc rId="3719" sId="11" odxf="1" s="1" dxf="1" numFmtId="4">
    <nc r="BI27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family val="2"/>
        <scheme val="none"/>
      </font>
      <numFmt numFmtId="3" formatCode="#,##0"/>
      <protection locked="0"/>
    </ndxf>
  </rcc>
  <rcc rId="3720" sId="11" odxf="1" s="1" dxf="1" numFmtId="4">
    <nc r="BI28">
      <v>0</v>
    </nc>
    <o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family val="2"/>
        <scheme val="none"/>
      </font>
      <numFmt numFmtId="3" formatCode="#,##0"/>
      <protection locked="0"/>
    </ndxf>
  </rcc>
  <rcc rId="3721" sId="11" odxf="1" dxf="1" numFmtId="4">
    <nc r="BI29">
      <v>0</v>
    </nc>
    <odxf>
      <numFmt numFmtId="164" formatCode="_(* #,##0_);_(* \(#,##0\);_(* &quot;-&quot;??_);_(@_)"/>
    </odxf>
    <ndxf>
      <numFmt numFmtId="3" formatCode="#,##0"/>
    </ndxf>
  </rcc>
  <rcc rId="3722" sId="11">
    <nc r="BI32">
      <v>0</v>
    </nc>
  </rcc>
  <rcc rId="3723" sId="11" odxf="1" dxf="1">
    <nc r="BI33">
      <v>0</v>
    </nc>
    <odxf>
      <font>
        <family val="2"/>
      </font>
      <protection locked="0"/>
    </odxf>
    <ndxf>
      <font>
        <sz val="10"/>
        <color auto="1"/>
        <name val="Arial"/>
        <scheme val="none"/>
      </font>
      <protection locked="1"/>
    </ndxf>
  </rcc>
  <rcc rId="3724" sId="11">
    <nc r="BI34">
      <v>0</v>
    </nc>
  </rcc>
  <rcc rId="3725" sId="11" odxf="1" dxf="1">
    <nc r="BI35">
      <v>0</v>
    </nc>
    <odxf>
      <font>
        <family val="2"/>
      </font>
      <protection locked="0"/>
    </odxf>
    <ndxf>
      <font>
        <sz val="10"/>
        <color auto="1"/>
        <name val="Arial"/>
        <scheme val="none"/>
      </font>
      <protection locked="1"/>
    </ndxf>
  </rcc>
  <rcc rId="3726" sId="11">
    <nc r="BI36">
      <v>0</v>
    </nc>
  </rcc>
  <rcc rId="3727" sId="11">
    <nc r="BI37">
      <v>0</v>
    </nc>
  </rcc>
  <rcc rId="3728" sId="11" odxf="1" dxf="1">
    <nc r="BI38">
      <v>0</v>
    </nc>
    <odxf>
      <font>
        <family val="2"/>
      </font>
      <protection locked="0"/>
    </odxf>
    <ndxf>
      <font>
        <sz val="10"/>
        <color auto="1"/>
        <name val="Arial"/>
        <scheme val="none"/>
      </font>
      <protection locked="1"/>
    </ndxf>
  </rcc>
  <rcc rId="3729" sId="11" odxf="1" s="1" dxf="1">
    <nc r="BI39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odxf>
    <ndxf>
      <font>
        <sz val="10"/>
        <color auto="1"/>
        <name val="Arial"/>
        <scheme val="none"/>
      </font>
      <numFmt numFmtId="0" formatCode="General"/>
      <protection locked="1"/>
    </ndxf>
  </rcc>
  <rcc rId="3730" sId="11">
    <nc r="BI41">
      <v>0</v>
    </nc>
  </rcc>
  <rcc rId="3731" sId="11" odxf="1" s="1" dxf="1">
    <nc r="BI42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odxf>
    <ndxf>
      <numFmt numFmtId="0" formatCode="General"/>
    </ndxf>
  </rcc>
  <rcc rId="3732" sId="11" odxf="1" dxf="1">
    <nc r="BI43">
      <v>0</v>
    </nc>
    <odxf>
      <font>
        <sz val="10"/>
        <color auto="1"/>
        <name val="Arial"/>
        <scheme val="none"/>
      </font>
      <protection locked="1"/>
    </odxf>
    <ndxf>
      <font>
        <sz val="10"/>
        <color auto="1"/>
        <name val="Arial"/>
        <family val="2"/>
        <scheme val="none"/>
      </font>
      <protection locked="0"/>
    </ndxf>
  </rcc>
  <rcc rId="3733" sId="11" odxf="1" s="1" dxf="1">
    <nc r="BI44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odxf>
    <ndxf>
      <numFmt numFmtId="0" formatCode="General"/>
    </ndxf>
  </rcc>
  <rcc rId="3734" sId="11" odxf="1" s="1" dxf="1">
    <nc r="BI45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odxf>
    <ndxf>
      <numFmt numFmtId="0" formatCode="General"/>
    </ndxf>
  </rcc>
  <rcc rId="3735" sId="11" odxf="1" s="1" dxf="1">
    <nc r="BI46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odxf>
    <ndxf>
      <numFmt numFmtId="0" formatCode="General"/>
    </ndxf>
  </rcc>
  <rcc rId="3736" sId="11" odxf="1" dxf="1">
    <nc r="BI47">
      <v>0</v>
    </nc>
    <odxf>
      <font>
        <sz val="10"/>
        <color auto="1"/>
        <name val="Arial"/>
        <scheme val="none"/>
      </font>
      <protection locked="1"/>
    </odxf>
    <ndxf>
      <font>
        <sz val="10"/>
        <color auto="1"/>
        <name val="Arial"/>
        <family val="2"/>
        <scheme val="none"/>
      </font>
      <protection locked="0"/>
    </ndxf>
  </rcc>
  <rcc rId="3737" sId="11">
    <nc r="BI49">
      <v>0</v>
    </nc>
  </rcc>
  <rcc rId="3738" sId="11">
    <nc r="BI50">
      <v>0</v>
    </nc>
  </rcc>
  <rcc rId="3739" sId="11">
    <nc r="BI51">
      <v>0</v>
    </nc>
  </rcc>
  <rcc rId="3740" sId="11">
    <nc r="BI52">
      <v>0</v>
    </nc>
  </rcc>
  <rcc rId="3741" sId="11">
    <nc r="BI54">
      <v>0</v>
    </nc>
  </rcc>
  <rcc rId="3742" sId="11">
    <nc r="BI57">
      <v>0</v>
    </nc>
  </rcc>
  <rcc rId="3743" sId="11">
    <nc r="BI58">
      <v>0</v>
    </nc>
  </rcc>
  <rcc rId="3744" sId="11">
    <nc r="BI59">
      <v>0</v>
    </nc>
  </rcc>
  <rcc rId="3745" sId="11">
    <nc r="BI60">
      <v>0</v>
    </nc>
  </rcc>
  <rcc rId="3746" sId="11">
    <nc r="BI61">
      <v>0</v>
    </nc>
  </rcc>
  <rcc rId="3747" sId="11">
    <nc r="BI63">
      <v>0</v>
    </nc>
  </rcc>
  <rcc rId="3748" sId="11" odxf="1" dxf="1">
    <nc r="BI64">
      <v>0</v>
    </nc>
    <odxf>
      <font>
        <family val="2"/>
      </font>
      <protection locked="0"/>
    </odxf>
    <ndxf>
      <font>
        <sz val="10"/>
        <color auto="1"/>
        <name val="Arial"/>
        <scheme val="none"/>
      </font>
      <protection locked="1"/>
    </ndxf>
  </rcc>
  <rcc rId="3749" sId="11">
    <nc r="BI65">
      <v>0</v>
    </nc>
  </rcc>
  <rcc rId="3750" sId="11" odxf="1" s="1" dxf="1">
    <nc r="BI66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odxf>
    <ndxf>
      <font>
        <sz val="10"/>
        <color auto="1"/>
        <name val="Arial"/>
        <scheme val="none"/>
      </font>
      <protection locked="1"/>
    </ndxf>
  </rcc>
  <rcc rId="3751" sId="11">
    <nc r="BI67">
      <v>0</v>
    </nc>
  </rcc>
  <rcc rId="3752" sId="11">
    <nc r="BI69">
      <v>0</v>
    </nc>
  </rcc>
  <rcc rId="3753" sId="11">
    <nc r="BI70">
      <v>0</v>
    </nc>
  </rcc>
  <rcc rId="3754" sId="11" odxf="1" s="1" dxf="1">
    <nc r="BI71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odxf>
    <ndxf>
      <font>
        <sz val="10"/>
        <color auto="1"/>
        <name val="Arial"/>
        <scheme val="none"/>
      </font>
      <numFmt numFmtId="0" formatCode="General"/>
      <protection locked="1"/>
    </ndxf>
  </rcc>
  <rcc rId="3755" sId="11">
    <nc r="BI72">
      <v>0</v>
    </nc>
  </rcc>
  <rcc rId="3756" sId="11">
    <nc r="BI73">
      <v>0</v>
    </nc>
  </rcc>
  <rcc rId="3757" sId="11">
    <nc r="BI74">
      <v>0</v>
    </nc>
  </rcc>
  <rcc rId="3758" sId="11" odxf="1" dxf="1">
    <nc r="BI75">
      <v>0</v>
    </nc>
    <odxf/>
    <ndxf/>
  </rcc>
  <rcc rId="3759" sId="11" odxf="1" dxf="1">
    <nc r="BI76">
      <v>0</v>
    </nc>
    <odxf/>
    <ndxf/>
  </rcc>
  <rcc rId="3760" sId="11">
    <nc r="BH3">
      <v>0</v>
    </nc>
  </rcc>
  <rcc rId="3761" sId="11" odxf="1" s="1" dxf="1">
    <nc r="BH4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odxf>
    <ndxf>
      <font>
        <sz val="10"/>
        <color auto="1"/>
        <name val="Arial"/>
        <scheme val="none"/>
      </font>
      <numFmt numFmtId="0" formatCode="General"/>
      <protection locked="1"/>
    </ndxf>
  </rcc>
  <rcc rId="3762" sId="11" odxf="1" s="1" dxf="1">
    <nc r="BH5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odxf>
    <ndxf>
      <font>
        <sz val="10"/>
        <color auto="1"/>
        <name val="Arial"/>
        <scheme val="none"/>
      </font>
      <numFmt numFmtId="0" formatCode="General"/>
      <protection locked="1"/>
    </ndxf>
  </rcc>
  <rcc rId="3763" sId="11">
    <nc r="BH6">
      <v>0</v>
    </nc>
  </rcc>
  <rcc rId="3764" sId="11" odxf="1" dxf="1">
    <nc r="BH7">
      <v>0</v>
    </nc>
    <odxf/>
    <ndxf/>
  </rcc>
  <rcc rId="3765" sId="11" odxf="1" dxf="1">
    <nc r="BH8">
      <v>0</v>
    </nc>
    <odxf/>
    <ndxf/>
  </rcc>
  <rcc rId="3766" sId="11">
    <nc r="BH9">
      <v>0</v>
    </nc>
  </rcc>
  <rcc rId="3767" sId="11">
    <nc r="BH10">
      <v>0</v>
    </nc>
  </rcc>
  <rcc rId="3768" sId="11" odxf="1" s="1" dxf="1">
    <nc r="BH11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odxf>
    <ndxf>
      <font>
        <sz val="10"/>
        <color auto="1"/>
        <name val="Arial"/>
        <scheme val="none"/>
      </font>
      <numFmt numFmtId="0" formatCode="General"/>
      <protection locked="1"/>
    </ndxf>
  </rcc>
  <rcc rId="3769" sId="11">
    <nc r="BH13">
      <v>0</v>
    </nc>
  </rcc>
  <rcc rId="3770" sId="11">
    <nc r="BH14">
      <v>0</v>
    </nc>
  </rcc>
  <rcc rId="3771" sId="11" odxf="1" s="1" dxf="1">
    <nc r="BH15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odxf>
    <ndxf>
      <font>
        <sz val="10"/>
        <color auto="1"/>
        <name val="Arial"/>
        <scheme val="none"/>
      </font>
      <numFmt numFmtId="0" formatCode="General"/>
      <protection locked="1"/>
    </ndxf>
  </rcc>
  <rcc rId="3772" sId="11">
    <nc r="BH16">
      <v>0</v>
    </nc>
  </rcc>
  <rcc rId="3773" sId="11">
    <nc r="BH17">
      <v>0</v>
    </nc>
  </rcc>
  <rcc rId="3774" sId="11">
    <nc r="BH18">
      <v>0</v>
    </nc>
  </rcc>
  <rcc rId="3775" sId="11">
    <nc r="BH19">
      <v>0</v>
    </nc>
  </rcc>
  <rcc rId="3776" sId="11">
    <nc r="BH20">
      <v>0</v>
    </nc>
  </rcc>
  <rcc rId="3777" sId="11">
    <nc r="BH21">
      <v>0</v>
    </nc>
  </rcc>
  <rcc rId="3778" sId="11">
    <nc r="BH22">
      <v>0</v>
    </nc>
  </rcc>
  <rcc rId="3779" sId="11" odxf="1" dxf="1">
    <nc r="BH23">
      <v>0</v>
    </nc>
    <odxf/>
    <ndxf/>
  </rcc>
  <rcc rId="3780" sId="11">
    <nc r="BH26">
      <v>0</v>
    </nc>
  </rcc>
  <rcc rId="3781" sId="11">
    <nc r="BH28">
      <v>0</v>
    </nc>
  </rcc>
  <rcc rId="3782" sId="11">
    <nc r="BH29">
      <v>0</v>
    </nc>
  </rcc>
  <rcc rId="3783" sId="11">
    <nc r="BH30">
      <v>0</v>
    </nc>
  </rcc>
  <rcc rId="3784" sId="11">
    <nc r="BH31">
      <v>0</v>
    </nc>
  </rcc>
  <rcc rId="3785" sId="11">
    <nc r="BH32">
      <v>0</v>
    </nc>
  </rcc>
  <rcc rId="3786" sId="11">
    <nc r="BH33">
      <v>0</v>
    </nc>
  </rcc>
  <rcc rId="3787" sId="11">
    <nc r="BH34">
      <v>0</v>
    </nc>
  </rcc>
  <rcc rId="3788" sId="11">
    <nc r="BH36">
      <v>0</v>
    </nc>
  </rcc>
  <rcc rId="3789" sId="11">
    <nc r="BH37">
      <v>0</v>
    </nc>
  </rcc>
  <rcc rId="3790" sId="11" numFmtId="34">
    <nc r="BH39">
      <v>0</v>
    </nc>
  </rcc>
  <rfmt sheetId="11" sqref="BH39">
    <dxf>
      <numFmt numFmtId="3" formatCode="#,##0"/>
    </dxf>
  </rfmt>
  <rcc rId="3791" sId="11" odxf="1" s="1" dxf="1" numFmtId="4">
    <nc r="BH40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odxf>
    <ndxf>
      <font>
        <sz val="10"/>
        <color auto="1"/>
        <name val="Arial"/>
        <family val="2"/>
        <scheme val="none"/>
      </font>
      <numFmt numFmtId="3" formatCode="#,##0"/>
      <protection locked="0"/>
    </ndxf>
  </rcc>
  <rcc rId="3792" sId="11" odxf="1" s="1" dxf="1" numFmtId="4">
    <nc r="BH41">
      <v>0</v>
    </nc>
    <o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family val="2"/>
        <scheme val="none"/>
      </font>
      <numFmt numFmtId="3" formatCode="#,##0"/>
      <protection locked="0"/>
    </ndxf>
  </rcc>
  <rcc rId="3793" sId="11" odxf="1" s="1" dxf="1" numFmtId="4">
    <nc r="BH42">
      <v>0</v>
    </nc>
    <o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family val="2"/>
        <scheme val="none"/>
      </font>
      <numFmt numFmtId="3" formatCode="#,##0"/>
      <protection locked="0"/>
    </ndxf>
  </rcc>
  <rcc rId="3794" sId="11" odxf="1" s="1" dxf="1" numFmtId="4">
    <nc r="BH43">
      <v>0</v>
    </nc>
    <o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family val="2"/>
        <scheme val="none"/>
      </font>
      <numFmt numFmtId="3" formatCode="#,##0"/>
      <protection locked="0"/>
    </ndxf>
  </rcc>
  <rcc rId="3795" sId="11" odxf="1" s="1" dxf="1" numFmtId="4">
    <nc r="BH44">
      <v>0</v>
    </nc>
    <o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family val="2"/>
        <scheme val="none"/>
      </font>
      <numFmt numFmtId="3" formatCode="#,##0"/>
      <protection locked="0"/>
    </ndxf>
  </rcc>
  <rcc rId="3796" sId="11" odxf="1" s="1" dxf="1" numFmtId="4">
    <nc r="BH45">
      <v>0</v>
    </nc>
    <o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family val="2"/>
        <scheme val="none"/>
      </font>
      <numFmt numFmtId="3" formatCode="#,##0"/>
      <protection locked="0"/>
    </ndxf>
  </rcc>
  <rcc rId="3797" sId="11" odxf="1" dxf="1" numFmtId="4">
    <nc r="BH46">
      <v>0</v>
    </nc>
    <odxf>
      <numFmt numFmtId="164" formatCode="_(* #,##0_);_(* \(#,##0\);_(* &quot;-&quot;??_);_(@_)"/>
    </odxf>
    <ndxf>
      <numFmt numFmtId="3" formatCode="#,##0"/>
    </ndxf>
  </rcc>
  <rcc rId="3798" sId="11" odxf="1" s="1" dxf="1" numFmtId="4">
    <nc r="BH47">
      <v>0</v>
    </nc>
    <o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family val="2"/>
        <scheme val="none"/>
      </font>
      <numFmt numFmtId="3" formatCode="#,##0"/>
      <protection locked="0"/>
    </ndxf>
  </rcc>
  <rcc rId="3799" sId="11" odxf="1" s="1" dxf="1" numFmtId="4">
    <nc r="BH48">
      <v>0</v>
    </nc>
    <o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family val="2"/>
        <scheme val="none"/>
      </font>
      <numFmt numFmtId="3" formatCode="#,##0"/>
      <protection locked="0"/>
    </ndxf>
  </rcc>
  <rcc rId="3800" sId="11" odxf="1" s="1" dxf="1" numFmtId="4">
    <nc r="BH49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family val="2"/>
        <scheme val="none"/>
      </font>
      <numFmt numFmtId="3" formatCode="#,##0"/>
      <protection locked="0"/>
    </ndxf>
  </rcc>
  <rcc rId="3801" sId="11" odxf="1" s="1" dxf="1" numFmtId="4">
    <nc r="BH50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family val="2"/>
        <scheme val="none"/>
      </font>
      <numFmt numFmtId="3" formatCode="#,##0"/>
      <protection locked="0"/>
    </ndxf>
  </rcc>
  <rcc rId="3802" sId="11" odxf="1" s="1" dxf="1" numFmtId="4">
    <nc r="BH51">
      <v>0</v>
    </nc>
    <o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family val="2"/>
        <scheme val="none"/>
      </font>
      <numFmt numFmtId="3" formatCode="#,##0"/>
      <protection locked="0"/>
    </ndxf>
  </rcc>
  <rcc rId="3803" sId="11" odxf="1" dxf="1" numFmtId="4">
    <nc r="BH52">
      <v>0</v>
    </nc>
    <odxf>
      <numFmt numFmtId="164" formatCode="_(* #,##0_);_(* \(#,##0\);_(* &quot;-&quot;??_);_(@_)"/>
    </odxf>
    <ndxf>
      <numFmt numFmtId="3" formatCode="#,##0"/>
    </ndxf>
  </rcc>
  <rcc rId="3804" sId="11" odxf="1" s="1" dxf="1" numFmtId="4">
    <nc r="BH53">
      <v>0</v>
    </nc>
    <o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family val="2"/>
        <scheme val="none"/>
      </font>
      <numFmt numFmtId="3" formatCode="#,##0"/>
      <protection locked="0"/>
    </ndxf>
  </rcc>
  <rcc rId="3805" sId="11" odxf="1" s="1" dxf="1" numFmtId="4">
    <nc r="BH54">
      <v>0</v>
    </nc>
    <o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family val="2"/>
        <scheme val="none"/>
      </font>
      <numFmt numFmtId="3" formatCode="#,##0"/>
      <protection locked="0"/>
    </ndxf>
  </rcc>
  <rcc rId="3806" sId="11" odxf="1" s="1" dxf="1" numFmtId="4">
    <nc r="BH55">
      <v>0</v>
    </nc>
    <o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family val="2"/>
        <scheme val="none"/>
      </font>
      <numFmt numFmtId="3" formatCode="#,##0"/>
      <protection locked="0"/>
    </ndxf>
  </rcc>
  <rcc rId="3807" sId="11" odxf="1" dxf="1" numFmtId="4">
    <nc r="BH56">
      <v>0</v>
    </nc>
    <odxf>
      <numFmt numFmtId="164" formatCode="_(* #,##0_);_(* \(#,##0\);_(* &quot;-&quot;??_);_(@_)"/>
    </odxf>
    <ndxf>
      <numFmt numFmtId="3" formatCode="#,##0"/>
    </ndxf>
  </rcc>
  <rcc rId="3808" sId="11" odxf="1" s="1" dxf="1" numFmtId="4">
    <nc r="BH57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protection locked="0" hidden="0"/>
    </odxf>
    <ndxf>
      <numFmt numFmtId="3" formatCode="#,##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09" sId="11" odxf="1" s="1" dxf="1" numFmtId="4">
    <nc r="BH58">
      <v>0</v>
    </nc>
    <o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family val="2"/>
        <scheme val="none"/>
      </font>
      <numFmt numFmtId="3" formatCode="#,##0"/>
      <protection locked="0"/>
    </ndxf>
  </rcc>
  <rcc rId="3810" sId="11" odxf="1" s="1" dxf="1" numFmtId="4">
    <nc r="BH59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family val="2"/>
        <scheme val="none"/>
      </font>
      <numFmt numFmtId="3" formatCode="#,##0"/>
      <protection locked="0"/>
    </ndxf>
  </rcc>
  <rcc rId="3811" sId="11" odxf="1" s="1" dxf="1" numFmtId="4">
    <nc r="BH60">
      <v>0</v>
    </nc>
    <o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family val="2"/>
        <scheme val="none"/>
      </font>
      <numFmt numFmtId="3" formatCode="#,##0"/>
      <protection locked="0"/>
    </ndxf>
  </rcc>
  <rcc rId="3812" sId="11" odxf="1" s="1" dxf="1" numFmtId="4">
    <nc r="BH61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family val="2"/>
        <scheme val="none"/>
      </font>
      <numFmt numFmtId="3" formatCode="#,##0"/>
      <protection locked="0"/>
    </ndxf>
  </rcc>
  <rcc rId="3813" sId="11" odxf="1" s="1" dxf="1" numFmtId="4">
    <nc r="BH62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family val="2"/>
        <scheme val="none"/>
      </font>
      <numFmt numFmtId="3" formatCode="#,##0"/>
      <protection locked="0"/>
    </ndxf>
  </rcc>
  <rcc rId="3814" sId="11" odxf="1" s="1" dxf="1" numFmtId="4">
    <nc r="BH63">
      <v>0</v>
    </nc>
    <o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family val="2"/>
        <scheme val="none"/>
      </font>
      <numFmt numFmtId="3" formatCode="#,##0"/>
      <protection locked="0"/>
    </ndxf>
  </rcc>
  <rcc rId="3815" sId="11" odxf="1" s="1" dxf="1" numFmtId="4">
    <nc r="BH64">
      <v>0</v>
    </nc>
    <o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family val="2"/>
        <scheme val="none"/>
      </font>
      <numFmt numFmtId="3" formatCode="#,##0"/>
      <protection locked="0"/>
    </ndxf>
  </rcc>
  <rcc rId="3816" sId="11" odxf="1" s="1" dxf="1" numFmtId="4">
    <nc r="BH65">
      <v>0</v>
    </nc>
    <o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family val="2"/>
        <scheme val="none"/>
      </font>
      <numFmt numFmtId="3" formatCode="#,##0"/>
      <protection locked="0"/>
    </ndxf>
  </rcc>
  <rcc rId="3817" sId="11" odxf="1" s="1" dxf="1" numFmtId="4">
    <nc r="BH66">
      <v>0</v>
    </nc>
    <o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family val="2"/>
        <scheme val="none"/>
      </font>
      <numFmt numFmtId="3" formatCode="#,##0"/>
      <protection locked="0"/>
    </ndxf>
  </rcc>
  <rcc rId="3818" sId="11" odxf="1" s="1" dxf="1" numFmtId="4">
    <nc r="BH67">
      <v>0</v>
    </nc>
    <o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family val="2"/>
        <scheme val="none"/>
      </font>
      <numFmt numFmtId="3" formatCode="#,##0"/>
      <protection locked="0"/>
    </ndxf>
  </rcc>
  <rfmt sheetId="11" s="1" sqref="BH68" start="0" length="0">
    <dxf>
      <font>
        <sz val="10"/>
        <color auto="1"/>
        <name val="Arial"/>
        <family val="2"/>
        <scheme val="none"/>
      </font>
      <numFmt numFmtId="3" formatCode="#,##0"/>
      <fill>
        <patternFill patternType="none">
          <bgColor indexed="65"/>
        </patternFill>
      </fill>
      <protection locked="0"/>
    </dxf>
  </rfmt>
  <rcc rId="3819" sId="11" odxf="1" s="1" dxf="1" numFmtId="4">
    <nc r="BH69">
      <v>0</v>
    </nc>
    <o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family val="2"/>
        <scheme val="none"/>
      </font>
      <numFmt numFmtId="3" formatCode="#,##0"/>
      <protection locked="0"/>
    </ndxf>
  </rcc>
  <rcc rId="3820" sId="11" odxf="1" s="1" dxf="1" numFmtId="4">
    <nc r="BH70">
      <v>0</v>
    </nc>
    <o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family val="2"/>
        <scheme val="none"/>
      </font>
      <numFmt numFmtId="3" formatCode="#,##0"/>
      <protection locked="0"/>
    </ndxf>
  </rcc>
  <rcc rId="3821" sId="11" odxf="1" dxf="1" numFmtId="4">
    <nc r="BH71">
      <v>0</v>
    </nc>
    <odxf>
      <numFmt numFmtId="164" formatCode="_(* #,##0_);_(* \(#,##0\);_(* &quot;-&quot;??_);_(@_)"/>
    </odxf>
    <ndxf>
      <numFmt numFmtId="3" formatCode="#,##0"/>
    </ndxf>
  </rcc>
  <rcc rId="3822" sId="11" odxf="1" s="1" dxf="1" numFmtId="4">
    <nc r="BH72">
      <v>0</v>
    </nc>
    <o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family val="2"/>
        <scheme val="none"/>
      </font>
      <numFmt numFmtId="3" formatCode="#,##0"/>
      <protection locked="0"/>
    </ndxf>
  </rcc>
  <rcc rId="3823" sId="11" odxf="1" s="1" dxf="1" numFmtId="4">
    <nc r="BH73">
      <v>0</v>
    </nc>
    <o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family val="2"/>
        <scheme val="none"/>
      </font>
      <numFmt numFmtId="3" formatCode="#,##0"/>
      <protection locked="0"/>
    </ndxf>
  </rcc>
  <rcc rId="3824" sId="11" odxf="1" s="1" dxf="1" numFmtId="4">
    <nc r="BH74">
      <v>0</v>
    </nc>
    <o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family val="2"/>
        <scheme val="none"/>
      </font>
      <numFmt numFmtId="3" formatCode="#,##0"/>
      <protection locked="0"/>
    </ndxf>
  </rcc>
  <rcc rId="3825" sId="11" odxf="1" s="1" dxf="1" numFmtId="4">
    <nc r="BH75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family val="2"/>
        <scheme val="none"/>
      </font>
      <numFmt numFmtId="3" formatCode="#,##0"/>
      <protection locked="0"/>
    </ndxf>
  </rcc>
  <rcc rId="3826" sId="11" odxf="1" s="1" dxf="1" numFmtId="4">
    <nc r="BH76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family val="2"/>
        <scheme val="none"/>
      </font>
      <numFmt numFmtId="3" formatCode="#,##0"/>
      <protection locked="0"/>
    </ndxf>
  </rcc>
  <rfmt sheetId="11" s="1" sqref="BH68" start="0" length="0">
    <dxf>
      <font>
        <sz val="10"/>
        <color auto="1"/>
        <name val="Arial"/>
        <scheme val="none"/>
      </font>
      <numFmt numFmtId="0" formatCode="General"/>
      <fill>
        <patternFill patternType="solid">
          <bgColor rgb="FFFFFF00"/>
        </patternFill>
      </fill>
      <protection locked="1"/>
    </dxf>
  </rfmt>
  <rcc rId="3827" sId="11">
    <nc r="BH68">
      <v>0</v>
    </nc>
  </rcc>
  <rcc rId="3828" sId="11">
    <nc r="BG3">
      <v>0</v>
    </nc>
  </rcc>
  <rcc rId="3829" sId="11" odxf="1" s="1" dxf="1">
    <nc r="BG4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odxf>
    <ndxf>
      <font>
        <sz val="10"/>
        <color auto="1"/>
        <name val="Arial"/>
        <scheme val="none"/>
      </font>
      <numFmt numFmtId="0" formatCode="General"/>
      <protection locked="1"/>
    </ndxf>
  </rcc>
  <rcc rId="3830" sId="11">
    <nc r="BG6">
      <v>0</v>
    </nc>
  </rcc>
  <rcc rId="3831" sId="11" odxf="1" s="1" dxf="1">
    <nc r="BG7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odxf>
    <ndxf>
      <font>
        <sz val="10"/>
        <color auto="1"/>
        <name val="Arial"/>
        <scheme val="none"/>
      </font>
      <numFmt numFmtId="0" formatCode="General"/>
      <protection locked="1"/>
    </ndxf>
  </rcc>
  <rcc rId="3832" sId="11">
    <nc r="BG8">
      <v>0</v>
    </nc>
  </rcc>
  <rcc rId="3833" sId="11">
    <nc r="BG9">
      <v>0</v>
    </nc>
  </rcc>
  <rcc rId="3834" sId="11" odxf="1" dxf="1">
    <nc r="BG10">
      <v>0</v>
    </nc>
    <odxf/>
    <ndxf/>
  </rcc>
  <rcc rId="3835" sId="11" odxf="1" s="1" dxf="1">
    <nc r="BG11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odxf>
    <ndxf>
      <font>
        <sz val="10"/>
        <color auto="1"/>
        <name val="Arial"/>
        <scheme val="none"/>
      </font>
      <numFmt numFmtId="0" formatCode="General"/>
      <protection locked="1"/>
    </ndxf>
  </rcc>
  <rcc rId="3836" sId="11">
    <nc r="BG12">
      <v>0</v>
    </nc>
  </rcc>
  <rcc rId="3837" sId="11">
    <nc r="BG14">
      <v>0</v>
    </nc>
  </rcc>
  <rcc rId="3838" sId="11" odxf="1" s="1" dxf="1">
    <nc r="BG15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odxf>
    <ndxf>
      <numFmt numFmtId="0" formatCode="General"/>
      <protection locked="1"/>
    </ndxf>
  </rcc>
  <rcc rId="3839" sId="11" odxf="1" s="1" dxf="1">
    <nc r="BG16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odxf>
    <ndxf>
      <font>
        <sz val="10"/>
        <color auto="1"/>
        <name val="Arial"/>
        <scheme val="none"/>
      </font>
      <numFmt numFmtId="0" formatCode="General"/>
      <protection locked="1"/>
    </ndxf>
  </rcc>
  <rcc rId="3840" sId="11" odxf="1" dxf="1">
    <nc r="BG17">
      <v>0</v>
    </nc>
    <odxf/>
    <ndxf/>
  </rcc>
  <rcc rId="3841" sId="11">
    <nc r="BG18">
      <v>0</v>
    </nc>
  </rcc>
  <rcc rId="3842" sId="11">
    <nc r="BG19">
      <v>0</v>
    </nc>
  </rcc>
  <rcc rId="3843" sId="11">
    <nc r="BG20">
      <v>0</v>
    </nc>
  </rcc>
  <rcc rId="3844" sId="11">
    <nc r="BG21">
      <v>0</v>
    </nc>
  </rcc>
  <rcc rId="3845" sId="11">
    <nc r="BG22">
      <v>0</v>
    </nc>
  </rcc>
  <rcc rId="3846" sId="11">
    <nc r="BG23">
      <v>0</v>
    </nc>
  </rcc>
  <rcc rId="3847" sId="11" odxf="1" s="1" dxf="1">
    <nc r="BG24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odxf>
    <ndxf>
      <numFmt numFmtId="0" formatCode="General"/>
      <protection locked="1"/>
    </ndxf>
  </rcc>
  <rcc rId="3848" sId="11">
    <nc r="BG25">
      <v>0</v>
    </nc>
  </rcc>
  <rcc rId="3849" sId="11" odxf="1" dxf="1">
    <nc r="BG26">
      <v>0</v>
    </nc>
    <odxf/>
    <ndxf/>
  </rcc>
  <rcc rId="3850" sId="11" odxf="1" s="1" dxf="1">
    <nc r="BG27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odxf>
    <ndxf>
      <numFmt numFmtId="0" formatCode="General"/>
      <protection locked="1"/>
    </ndxf>
  </rcc>
  <rcc rId="3851" sId="11">
    <nc r="BG28">
      <v>0</v>
    </nc>
  </rcc>
  <rcc rId="3852" sId="11">
    <nc r="BG29">
      <v>0</v>
    </nc>
  </rcc>
  <rcc rId="3853" sId="11" odxf="1" s="1" dxf="1">
    <nc r="BG30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odxf>
    <ndxf>
      <font>
        <sz val="10"/>
        <color auto="1"/>
        <name val="Arial"/>
        <scheme val="none"/>
      </font>
      <numFmt numFmtId="0" formatCode="General"/>
      <protection locked="1"/>
    </ndxf>
  </rcc>
  <rcc rId="3854" sId="11">
    <nc r="BG31">
      <v>0</v>
    </nc>
  </rcc>
  <rcc rId="3855" sId="11">
    <nc r="BG32">
      <v>0</v>
    </nc>
  </rcc>
  <rcc rId="3856" sId="11">
    <nc r="BG33">
      <v>0</v>
    </nc>
  </rcc>
  <rcc rId="3857" sId="11">
    <nc r="BG34">
      <v>0</v>
    </nc>
  </rcc>
  <rcc rId="3858" sId="11">
    <nc r="BG35">
      <v>0</v>
    </nc>
  </rcc>
  <rcc rId="3859" sId="11">
    <nc r="BG36">
      <v>0</v>
    </nc>
  </rcc>
  <rcc rId="3860" sId="11">
    <nc r="BG37">
      <v>0</v>
    </nc>
  </rcc>
  <rcc rId="3861" sId="11">
    <nc r="BG38">
      <v>0</v>
    </nc>
  </rcc>
  <rcc rId="3862" sId="11">
    <nc r="BG39">
      <v>0</v>
    </nc>
  </rcc>
  <rcc rId="3863" sId="11">
    <nc r="BG41">
      <v>0</v>
    </nc>
  </rcc>
  <rcc rId="3864" sId="11" odxf="1" s="1" dxf="1">
    <nc r="BG42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odxf>
    <ndxf>
      <font>
        <sz val="10"/>
        <color auto="1"/>
        <name val="Arial"/>
        <scheme val="none"/>
      </font>
      <numFmt numFmtId="0" formatCode="General"/>
      <protection locked="1"/>
    </ndxf>
  </rcc>
  <rcc rId="3865" sId="11">
    <nc r="BG43">
      <v>0</v>
    </nc>
  </rcc>
  <rcc rId="3866" sId="11" odxf="1" s="1" dxf="1">
    <nc r="BG44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odxf>
    <ndxf>
      <font>
        <sz val="10"/>
        <color auto="1"/>
        <name val="Arial"/>
        <scheme val="none"/>
      </font>
      <protection locked="1"/>
    </ndxf>
  </rcc>
  <rcc rId="3867" sId="11" odxf="1" s="1" dxf="1">
    <nc r="BG45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odxf>
    <ndxf>
      <font>
        <sz val="10"/>
        <color auto="1"/>
        <name val="Arial"/>
        <scheme val="none"/>
      </font>
      <numFmt numFmtId="0" formatCode="General"/>
      <protection locked="1"/>
    </ndxf>
  </rcc>
  <rcc rId="3868" sId="11" odxf="1" s="1" dxf="1">
    <nc r="BG46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odxf>
    <ndxf>
      <font>
        <sz val="10"/>
        <color auto="1"/>
        <name val="Arial"/>
        <scheme val="none"/>
      </font>
      <numFmt numFmtId="0" formatCode="General"/>
      <protection locked="1"/>
    </ndxf>
  </rcc>
  <rcc rId="3869" sId="11">
    <nc r="BG47">
      <v>0</v>
    </nc>
  </rcc>
  <rcc rId="3870" sId="11">
    <nc r="BG50">
      <v>0</v>
    </nc>
  </rcc>
  <rcc rId="3871" sId="11">
    <nc r="BG51">
      <v>0</v>
    </nc>
  </rcc>
  <rcc rId="3872" sId="11" numFmtId="34">
    <nc r="BG52">
      <v>0</v>
    </nc>
  </rcc>
  <rcc rId="3873" sId="11">
    <nc r="BG54">
      <v>0</v>
    </nc>
  </rcc>
  <rcc rId="3874" sId="11">
    <nc r="BG58">
      <v>0</v>
    </nc>
  </rcc>
  <rfmt sheetId="11" sqref="BG52">
    <dxf>
      <numFmt numFmtId="3" formatCode="#,##0"/>
    </dxf>
  </rfmt>
  <rcc rId="3875" sId="11" odxf="1" s="1" dxf="1">
    <nc r="BG59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odxf>
    <ndxf>
      <numFmt numFmtId="0" formatCode="General"/>
      <border outline="0">
        <left/>
        <right/>
        <top/>
        <bottom/>
      </border>
    </ndxf>
  </rcc>
  <rcc rId="3876" sId="11" odxf="1" dxf="1">
    <nc r="BG60">
      <v>0</v>
    </nc>
    <o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/>
    </odxf>
    <ndxf>
      <font>
        <sz val="10"/>
        <color auto="1"/>
        <name val="Arial"/>
        <family val="2"/>
        <scheme val="none"/>
      </font>
      <border outline="0">
        <left/>
        <right/>
        <top/>
        <bottom/>
      </border>
      <protection locked="0"/>
    </ndxf>
  </rcc>
  <rcc rId="3877" sId="11" odxf="1" dxf="1">
    <nc r="BG61">
      <v>0</v>
    </nc>
    <odxf>
      <font>
        <sz val="10"/>
        <color auto="1"/>
        <name val="Arial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/>
    </odxf>
    <ndxf>
      <font>
        <sz val="10"/>
        <color auto="1"/>
        <name val="Arial"/>
        <family val="2"/>
        <scheme val="none"/>
      </font>
      <border outline="0">
        <left/>
        <right/>
        <top/>
        <bottom/>
      </border>
      <protection locked="0"/>
    </ndxf>
  </rcc>
  <rcc rId="3878" sId="11">
    <nc r="BG63">
      <v>0</v>
    </nc>
  </rcc>
  <rcc rId="3879" sId="11">
    <nc r="BG67">
      <v>0</v>
    </nc>
  </rcc>
  <rcc rId="3880" sId="11">
    <nc r="BG68">
      <v>0</v>
    </nc>
  </rcc>
  <rcc rId="3881" sId="11">
    <nc r="BG69">
      <v>0</v>
    </nc>
  </rcc>
  <rcc rId="3882" sId="11" odxf="1" s="1" dxf="1">
    <nc r="BG70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odxf>
    <ndxf>
      <font>
        <sz val="10"/>
        <color auto="1"/>
        <name val="Arial"/>
        <scheme val="none"/>
      </font>
      <protection locked="1"/>
    </ndxf>
  </rcc>
  <rcc rId="3883" sId="11" odxf="1" s="1" dxf="1">
    <nc r="BG71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odxf>
    <ndxf>
      <font>
        <sz val="10"/>
        <color auto="1"/>
        <name val="Arial"/>
        <scheme val="none"/>
      </font>
      <numFmt numFmtId="0" formatCode="General"/>
      <protection locked="1"/>
    </ndxf>
  </rcc>
  <rcc rId="3884" sId="11">
    <nc r="BG72">
      <v>0</v>
    </nc>
  </rcc>
  <rcc rId="3885" sId="11">
    <nc r="BG73">
      <v>0</v>
    </nc>
  </rcc>
  <rcc rId="3886" sId="11">
    <nc r="BG74">
      <v>0</v>
    </nc>
  </rcc>
  <rcc rId="3887" sId="11" odxf="1" dxf="1">
    <nc r="BG75">
      <v>0</v>
    </nc>
    <odxf/>
    <ndxf/>
  </rcc>
  <rcc rId="3888" sId="11" odxf="1" dxf="1">
    <nc r="BG76">
      <v>0</v>
    </nc>
    <odxf/>
    <ndxf/>
  </rcc>
  <rcc rId="3889" sId="11">
    <nc r="BF3">
      <v>0</v>
    </nc>
  </rcc>
  <rcc rId="3890" sId="11">
    <nc r="BF4">
      <v>0</v>
    </nc>
  </rcc>
  <rcc rId="3891" sId="11">
    <nc r="BF6">
      <v>0</v>
    </nc>
  </rcc>
  <rcc rId="3892" sId="11">
    <nc r="BF7">
      <v>0</v>
    </nc>
  </rcc>
  <rcc rId="3893" sId="11">
    <nc r="BF9">
      <v>0</v>
    </nc>
  </rcc>
  <rcc rId="3894" sId="11">
    <nc r="BF10">
      <v>0</v>
    </nc>
  </rcc>
  <rcc rId="3895" sId="11">
    <nc r="BF12">
      <v>0</v>
    </nc>
  </rcc>
  <rcc rId="3896" sId="11">
    <nc r="BF13">
      <v>0</v>
    </nc>
  </rcc>
  <rcc rId="3897" sId="11">
    <nc r="BF14">
      <v>0</v>
    </nc>
  </rcc>
  <rcc rId="3898" sId="11" odxf="1" s="1" dxf="1">
    <nc r="BF15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odxf>
    <ndxf>
      <font>
        <sz val="10"/>
        <color auto="1"/>
        <name val="Arial"/>
        <scheme val="none"/>
      </font>
      <protection locked="1"/>
    </ndxf>
  </rcc>
  <rcc rId="3899" sId="11" odxf="1" s="1" dxf="1">
    <nc r="BF16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odxf>
    <ndxf>
      <font>
        <sz val="10"/>
        <color auto="1"/>
        <name val="Arial"/>
        <scheme val="none"/>
      </font>
      <numFmt numFmtId="0" formatCode="General"/>
      <protection locked="1"/>
    </ndxf>
  </rcc>
  <rcc rId="3900" sId="11">
    <nc r="BF17">
      <v>0</v>
    </nc>
  </rcc>
  <rcc rId="3901" sId="11">
    <nc r="BF18">
      <v>0</v>
    </nc>
  </rcc>
  <rcc rId="3902" sId="11">
    <nc r="BF19">
      <v>0</v>
    </nc>
  </rcc>
  <rcc rId="3903" sId="11">
    <nc r="BF20">
      <v>0</v>
    </nc>
  </rcc>
  <rcc rId="3904" sId="11">
    <nc r="BF21">
      <v>0</v>
    </nc>
  </rcc>
  <rcc rId="3905" sId="11">
    <nc r="BF22">
      <v>0</v>
    </nc>
  </rcc>
  <rcc rId="3906" sId="11" odxf="1" dxf="1">
    <nc r="BF23">
      <v>0</v>
    </nc>
    <odxf/>
    <ndxf/>
  </rcc>
  <rcc rId="3907" sId="11">
    <nc r="BF24">
      <v>0</v>
    </nc>
  </rcc>
  <rcc rId="3908" sId="11">
    <nc r="BF25">
      <v>0</v>
    </nc>
  </rcc>
  <rcc rId="3909" sId="11">
    <nc r="BF26">
      <v>0</v>
    </nc>
  </rcc>
  <rcc rId="3910" sId="11">
    <nc r="BF27">
      <v>0</v>
    </nc>
  </rcc>
  <rcc rId="3911" sId="11">
    <nc r="BF28">
      <v>0</v>
    </nc>
  </rcc>
  <rcc rId="3912" sId="11">
    <nc r="BF29">
      <v>0</v>
    </nc>
  </rcc>
  <rcc rId="3913" sId="11">
    <nc r="BF30">
      <v>0</v>
    </nc>
  </rcc>
  <rcc rId="3914" sId="11">
    <nc r="BF31">
      <v>0</v>
    </nc>
  </rcc>
  <rcc rId="3915" sId="11">
    <nc r="BF32">
      <v>0</v>
    </nc>
  </rcc>
  <rcc rId="3916" sId="11">
    <nc r="BF33">
      <v>0</v>
    </nc>
  </rcc>
  <rcc rId="3917" sId="11">
    <nc r="BF34">
      <v>0</v>
    </nc>
  </rcc>
  <rcc rId="3918" sId="11">
    <nc r="BF35">
      <v>0</v>
    </nc>
  </rcc>
  <rcc rId="3919" sId="11">
    <nc r="BF36">
      <v>0</v>
    </nc>
  </rcc>
  <rcc rId="3920" sId="11">
    <nc r="BF37">
      <v>0</v>
    </nc>
  </rcc>
  <rcc rId="3921" sId="11" odxf="1" dxf="1">
    <nc r="BF38">
      <v>0</v>
    </nc>
    <odxf/>
    <ndxf/>
  </rcc>
  <rcc rId="3922" sId="11">
    <nc r="BF39">
      <v>0</v>
    </nc>
  </rcc>
  <rcc rId="3923" sId="11">
    <nc r="BF40">
      <v>0</v>
    </nc>
  </rcc>
  <rcc rId="3924" sId="11" numFmtId="34">
    <nc r="BF42">
      <v>0</v>
    </nc>
  </rcc>
  <rcc rId="3925" sId="11" odxf="1" s="1" dxf="1" numFmtId="34">
    <nc r="BF43">
      <v>0</v>
    </nc>
    <o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family val="2"/>
        <scheme val="none"/>
      </font>
      <numFmt numFmtId="164" formatCode="_(* #,##0_);_(* \(#,##0\);_(* &quot;-&quot;??_);_(@_)"/>
      <protection locked="0"/>
    </ndxf>
  </rcc>
  <rcc rId="3926" sId="11" odxf="1" dxf="1" numFmtId="34">
    <nc r="BF44">
      <v>0</v>
    </nc>
    <odxf>
      <numFmt numFmtId="0" formatCode="General"/>
    </odxf>
    <ndxf>
      <numFmt numFmtId="164" formatCode="_(* #,##0_);_(* \(#,##0\);_(* &quot;-&quot;??_);_(@_)"/>
    </ndxf>
  </rcc>
  <rcc rId="3927" sId="11" odxf="1" s="1" dxf="1" numFmtId="34">
    <nc r="BF45">
      <v>0</v>
    </nc>
    <o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family val="2"/>
        <scheme val="none"/>
      </font>
      <numFmt numFmtId="164" formatCode="_(* #,##0_);_(* \(#,##0\);_(* &quot;-&quot;??_);_(@_)"/>
      <protection locked="0"/>
    </ndxf>
  </rcc>
  <rcc rId="3928" sId="11" odxf="1" s="1" dxf="1" numFmtId="34">
    <nc r="BF46">
      <v>0</v>
    </nc>
    <o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family val="2"/>
        <scheme val="none"/>
      </font>
      <numFmt numFmtId="164" formatCode="_(* #,##0_);_(* \(#,##0\);_(* &quot;-&quot;??_);_(@_)"/>
      <protection locked="0"/>
    </ndxf>
  </rcc>
  <rcc rId="3929" sId="11" odxf="1" s="1" dxf="1" numFmtId="34">
    <nc r="BF47">
      <v>0</v>
    </nc>
    <o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family val="2"/>
        <scheme val="none"/>
      </font>
      <numFmt numFmtId="164" formatCode="_(* #,##0_);_(* \(#,##0\);_(* &quot;-&quot;??_);_(@_)"/>
      <protection locked="0"/>
    </ndxf>
  </rcc>
  <rcc rId="3930" sId="11" odxf="1" s="1" dxf="1" numFmtId="34">
    <nc r="BF48">
      <v>0</v>
    </nc>
    <o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family val="2"/>
        <scheme val="none"/>
      </font>
      <numFmt numFmtId="164" formatCode="_(* #,##0_);_(* \(#,##0\);_(* &quot;-&quot;??_);_(@_)"/>
      <protection locked="0"/>
    </ndxf>
  </rcc>
  <rcc rId="3931" sId="11" odxf="1" s="1" dxf="1" numFmtId="34">
    <nc r="BF49">
      <v>0</v>
    </nc>
    <o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family val="2"/>
        <scheme val="none"/>
      </font>
      <numFmt numFmtId="164" formatCode="_(* #,##0_);_(* \(#,##0\);_(* &quot;-&quot;??_);_(@_)"/>
      <protection locked="0"/>
    </ndxf>
  </rcc>
  <rcc rId="3932" sId="11" odxf="1" s="1" dxf="1" numFmtId="34">
    <nc r="BF50">
      <v>0</v>
    </nc>
    <o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family val="2"/>
        <scheme val="none"/>
      </font>
      <numFmt numFmtId="164" formatCode="_(* #,##0_);_(* \(#,##0\);_(* &quot;-&quot;??_);_(@_)"/>
      <protection locked="0"/>
    </ndxf>
  </rcc>
  <rcc rId="3933" sId="11" odxf="1" s="1" dxf="1" numFmtId="34">
    <nc r="BF51">
      <v>0</v>
    </nc>
    <o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family val="2"/>
        <scheme val="none"/>
      </font>
      <numFmt numFmtId="164" formatCode="_(* #,##0_);_(* \(#,##0\);_(* &quot;-&quot;??_);_(@_)"/>
      <protection locked="0"/>
    </ndxf>
  </rcc>
  <rcc rId="3934" sId="11" odxf="1" s="1" dxf="1" numFmtId="34">
    <nc r="BF52">
      <v>0</v>
    </nc>
    <o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family val="2"/>
        <scheme val="none"/>
      </font>
      <numFmt numFmtId="164" formatCode="_(* #,##0_);_(* \(#,##0\);_(* &quot;-&quot;??_);_(@_)"/>
      <protection locked="0"/>
    </ndxf>
  </rcc>
  <rcc rId="3935" sId="11" odxf="1" s="1" dxf="1" numFmtId="34">
    <nc r="BF53">
      <v>0</v>
    </nc>
    <o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family val="2"/>
        <scheme val="none"/>
      </font>
      <numFmt numFmtId="164" formatCode="_(* #,##0_);_(* \(#,##0\);_(* &quot;-&quot;??_);_(@_)"/>
      <protection locked="0"/>
    </ndxf>
  </rcc>
  <rcc rId="3936" sId="11" odxf="1" s="1" dxf="1" numFmtId="34">
    <nc r="BF54">
      <v>0</v>
    </nc>
    <o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family val="2"/>
        <scheme val="none"/>
      </font>
      <numFmt numFmtId="164" formatCode="_(* #,##0_);_(* \(#,##0\);_(* &quot;-&quot;??_);_(@_)"/>
      <protection locked="0"/>
    </ndxf>
  </rcc>
  <rfmt sheetId="11" sqref="BF42:BF54">
    <dxf>
      <numFmt numFmtId="3" formatCode="#,##0"/>
    </dxf>
  </rfmt>
  <rcc rId="3937" sId="11">
    <nc r="BF56">
      <v>0</v>
    </nc>
  </rcc>
  <rcc rId="3938" sId="11">
    <nc r="BF57">
      <v>0</v>
    </nc>
  </rcc>
  <rcc rId="3939" sId="11">
    <nc r="BF58">
      <v>0</v>
    </nc>
  </rcc>
  <rcc rId="3940" sId="11">
    <nc r="BF59">
      <v>0</v>
    </nc>
  </rcc>
  <rcc rId="3941" sId="11">
    <nc r="BF61">
      <v>0</v>
    </nc>
  </rcc>
  <rcc rId="3942" sId="11">
    <nc r="BF62">
      <v>0</v>
    </nc>
  </rcc>
  <rcc rId="3943" sId="11">
    <nc r="BF63">
      <v>0</v>
    </nc>
  </rcc>
  <rcc rId="3944" sId="11">
    <nc r="BF64">
      <v>0</v>
    </nc>
  </rcc>
  <rcc rId="3945" sId="11" odxf="1" s="1" dxf="1">
    <nc r="BF65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odxf>
    <ndxf>
      <font>
        <sz val="10"/>
        <color auto="1"/>
        <name val="Arial"/>
        <scheme val="none"/>
      </font>
      <protection locked="1"/>
    </ndxf>
  </rcc>
  <rcc rId="3946" sId="11">
    <nc r="BF66">
      <v>0</v>
    </nc>
  </rcc>
  <rcc rId="3947" sId="11">
    <nc r="BF67">
      <v>0</v>
    </nc>
  </rcc>
  <rcc rId="3948" sId="11">
    <nc r="BF68">
      <v>0</v>
    </nc>
  </rcc>
  <rcc rId="3949" sId="11">
    <nc r="BF69">
      <v>0</v>
    </nc>
  </rcc>
  <rcc rId="3950" sId="11">
    <nc r="BF71">
      <v>0</v>
    </nc>
  </rcc>
  <rcc rId="3951" sId="11">
    <nc r="BF72">
      <v>0</v>
    </nc>
  </rcc>
  <rcc rId="3952" sId="11">
    <nc r="BF73">
      <v>0</v>
    </nc>
  </rcc>
  <rcc rId="3953" sId="11">
    <nc r="BF74">
      <v>0</v>
    </nc>
  </rcc>
  <rcc rId="3954" sId="11" odxf="1" dxf="1">
    <nc r="BF75">
      <v>0</v>
    </nc>
    <odxf/>
    <ndxf/>
  </rcc>
  <rcc rId="3955" sId="11" odxf="1" dxf="1">
    <nc r="BF76">
      <v>0</v>
    </nc>
    <odxf/>
    <ndxf/>
  </rcc>
  <rfmt sheetId="11" sqref="AX2:AX75">
    <dxf>
      <numFmt numFmtId="2" formatCode="0.00"/>
    </dxf>
  </rfmt>
  <rfmt sheetId="11" sqref="AX2:AX75">
    <dxf>
      <numFmt numFmtId="1" formatCode="0"/>
    </dxf>
  </rfmt>
  <rcc rId="3956" sId="11" odxf="1" dxf="1" numFmtId="4">
    <nc r="AU3">
      <v>0</v>
    </nc>
    <odxf>
      <numFmt numFmtId="164" formatCode="_(* #,##0_);_(* \(#,##0\);_(* &quot;-&quot;??_);_(@_)"/>
    </odxf>
    <ndxf>
      <numFmt numFmtId="3" formatCode="#,##0"/>
    </ndxf>
  </rcc>
  <rcc rId="3957" sId="11" numFmtId="34">
    <nc r="AU6">
      <v>0</v>
    </nc>
  </rcc>
  <rfmt sheetId="11" sqref="AU6">
    <dxf>
      <numFmt numFmtId="3" formatCode="#,##0"/>
    </dxf>
  </rfmt>
  <rcc rId="3958" sId="11" odxf="1" dxf="1" numFmtId="4">
    <nc r="AU7">
      <v>0</v>
    </nc>
    <odxf>
      <numFmt numFmtId="164" formatCode="_(* #,##0_);_(* \(#,##0\);_(* &quot;-&quot;??_);_(@_)"/>
    </odxf>
    <ndxf>
      <numFmt numFmtId="3" formatCode="#,##0"/>
    </ndxf>
  </rcc>
  <rcc rId="3959" sId="11" odxf="1" dxf="1" numFmtId="4">
    <nc r="AU8">
      <v>0</v>
    </nc>
    <odxf>
      <numFmt numFmtId="164" formatCode="_(* #,##0_);_(* \(#,##0\);_(* &quot;-&quot;??_);_(@_)"/>
    </odxf>
    <ndxf>
      <numFmt numFmtId="3" formatCode="#,##0"/>
    </ndxf>
  </rcc>
  <rcc rId="3960" sId="11" odxf="1" dxf="1" numFmtId="4">
    <nc r="AU9">
      <v>0</v>
    </nc>
    <odxf>
      <numFmt numFmtId="164" formatCode="_(* #,##0_);_(* \(#,##0\);_(* &quot;-&quot;??_);_(@_)"/>
    </odxf>
    <ndxf>
      <numFmt numFmtId="3" formatCode="#,##0"/>
    </ndxf>
  </rcc>
  <rcc rId="3961" sId="11" odxf="1" dxf="1" numFmtId="4">
    <nc r="AU10">
      <v>0</v>
    </nc>
    <odxf>
      <numFmt numFmtId="164" formatCode="_(* #,##0_);_(* \(#,##0\);_(* &quot;-&quot;??_);_(@_)"/>
    </odxf>
    <ndxf>
      <numFmt numFmtId="3" formatCode="#,##0"/>
    </ndxf>
  </rcc>
  <rcc rId="3962" sId="11">
    <nc r="AU12">
      <v>0</v>
    </nc>
  </rcc>
  <rcc rId="3963" sId="11" numFmtId="34">
    <nc r="AU15">
      <v>0</v>
    </nc>
  </rcc>
  <rfmt sheetId="11" sqref="AU15">
    <dxf>
      <numFmt numFmtId="3" formatCode="#,##0"/>
    </dxf>
  </rfmt>
  <rcc rId="3964" sId="11" odxf="1" dxf="1" numFmtId="4">
    <nc r="AU16">
      <v>0</v>
    </nc>
    <odxf>
      <numFmt numFmtId="164" formatCode="_(* #,##0_);_(* \(#,##0\);_(* &quot;-&quot;??_);_(@_)"/>
    </odxf>
    <ndxf>
      <numFmt numFmtId="3" formatCode="#,##0"/>
    </ndxf>
  </rcc>
  <rcc rId="3965" sId="11" odxf="1" dxf="1" numFmtId="4">
    <nc r="AU17">
      <v>0</v>
    </nc>
    <odxf>
      <numFmt numFmtId="164" formatCode="_(* #,##0_);_(* \(#,##0\);_(* &quot;-&quot;??_);_(@_)"/>
    </odxf>
    <ndxf>
      <numFmt numFmtId="3" formatCode="#,##0"/>
    </ndxf>
  </rcc>
  <rcc rId="3966" sId="11" odxf="1" dxf="1" numFmtId="4">
    <nc r="AU18">
      <v>0</v>
    </nc>
    <odxf>
      <numFmt numFmtId="164" formatCode="_(* #,##0_);_(* \(#,##0\);_(* &quot;-&quot;??_);_(@_)"/>
    </odxf>
    <ndxf>
      <numFmt numFmtId="3" formatCode="#,##0"/>
    </ndxf>
  </rcc>
  <rcc rId="3967" sId="11" odxf="1" dxf="1" numFmtId="4">
    <nc r="AU19">
      <v>0</v>
    </nc>
    <odxf>
      <numFmt numFmtId="164" formatCode="_(* #,##0_);_(* \(#,##0\);_(* &quot;-&quot;??_);_(@_)"/>
    </odxf>
    <ndxf>
      <numFmt numFmtId="3" formatCode="#,##0"/>
    </ndxf>
  </rcc>
  <rcc rId="3968" sId="11" odxf="1" dxf="1" numFmtId="4">
    <nc r="AU20">
      <v>0</v>
    </nc>
    <odxf>
      <numFmt numFmtId="164" formatCode="_(* #,##0_);_(* \(#,##0\);_(* &quot;-&quot;??_);_(@_)"/>
    </odxf>
    <ndxf>
      <numFmt numFmtId="3" formatCode="#,##0"/>
    </ndxf>
  </rcc>
  <rcc rId="3969" sId="11" odxf="1" dxf="1" numFmtId="4">
    <nc r="AU21">
      <v>0</v>
    </nc>
    <odxf>
      <numFmt numFmtId="164" formatCode="_(* #,##0_);_(* \(#,##0\);_(* &quot;-&quot;??_);_(@_)"/>
    </odxf>
    <ndxf>
      <numFmt numFmtId="3" formatCode="#,##0"/>
    </ndxf>
  </rcc>
  <rcc rId="3970" sId="11" numFmtId="34">
    <nc r="AU23">
      <v>0</v>
    </nc>
  </rcc>
  <rfmt sheetId="11" sqref="AU23">
    <dxf>
      <numFmt numFmtId="3" formatCode="#,##0"/>
    </dxf>
  </rfmt>
  <rcc rId="3971" sId="11" odxf="1" dxf="1" numFmtId="4">
    <nc r="AU24">
      <v>0</v>
    </nc>
    <odxf>
      <font>
        <sz val="10"/>
        <color auto="1"/>
        <name val="Arial"/>
        <family val="2"/>
        <scheme val="none"/>
      </font>
      <numFmt numFmtId="164" formatCode="_(* #,##0_);_(* \(#,##0\);_(* &quot;-&quot;??_);_(@_)"/>
    </odxf>
    <ndxf>
      <font>
        <sz val="10"/>
        <color theme="1"/>
        <name val="Arial"/>
        <family val="2"/>
        <scheme val="none"/>
      </font>
      <numFmt numFmtId="3" formatCode="#,##0"/>
    </ndxf>
  </rcc>
  <rcc rId="3972" sId="11" odxf="1" dxf="1" numFmtId="4">
    <nc r="AU25">
      <v>0</v>
    </nc>
    <odxf>
      <font>
        <sz val="10"/>
        <color auto="1"/>
        <name val="Arial"/>
        <family val="2"/>
        <scheme val="none"/>
      </font>
      <numFmt numFmtId="164" formatCode="_(* #,##0_);_(* \(#,##0\);_(* &quot;-&quot;??_);_(@_)"/>
    </odxf>
    <ndxf>
      <font>
        <sz val="10"/>
        <color theme="1"/>
        <name val="Arial"/>
        <family val="2"/>
        <scheme val="none"/>
      </font>
      <numFmt numFmtId="3" formatCode="#,##0"/>
    </ndxf>
  </rcc>
  <rcc rId="3973" sId="11" odxf="1" dxf="1" numFmtId="4">
    <nc r="AU26">
      <v>0</v>
    </nc>
    <odxf>
      <font>
        <sz val="10"/>
        <color auto="1"/>
        <name val="Arial"/>
        <family val="2"/>
        <scheme val="none"/>
      </font>
      <numFmt numFmtId="164" formatCode="_(* #,##0_);_(* \(#,##0\);_(* &quot;-&quot;??_);_(@_)"/>
    </odxf>
    <ndxf>
      <font>
        <sz val="10"/>
        <color theme="1"/>
        <name val="Arial"/>
        <family val="2"/>
        <scheme val="none"/>
      </font>
      <numFmt numFmtId="3" formatCode="#,##0"/>
    </ndxf>
  </rcc>
  <rcc rId="3974" sId="11" odxf="1" s="1" dxf="1" numFmtId="4">
    <nc r="AU27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protection locked="0" hidden="0"/>
    </odxf>
    <ndxf>
      <font>
        <sz val="10"/>
        <color theme="1"/>
        <name val="Arial"/>
        <family val="2"/>
        <scheme val="none"/>
      </font>
      <numFmt numFmtId="3" formatCode="#,##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75" sId="11" odxf="1" dxf="1" numFmtId="4">
    <nc r="AU28">
      <v>0</v>
    </nc>
    <odxf>
      <font>
        <sz val="10"/>
        <color auto="1"/>
        <name val="Arial"/>
        <family val="2"/>
        <scheme val="none"/>
      </font>
      <numFmt numFmtId="164" formatCode="_(* #,##0_);_(* \(#,##0\);_(* &quot;-&quot;??_);_(@_)"/>
    </odxf>
    <ndxf>
      <font>
        <sz val="10"/>
        <color theme="1"/>
        <name val="Arial"/>
        <family val="2"/>
        <scheme val="none"/>
      </font>
      <numFmt numFmtId="3" formatCode="#,##0"/>
    </ndxf>
  </rcc>
  <rcc rId="3976" sId="11" odxf="1" dxf="1" numFmtId="4">
    <nc r="AU29">
      <v>0</v>
    </nc>
    <odxf>
      <font>
        <sz val="10"/>
        <color auto="1"/>
        <name val="Arial"/>
        <family val="2"/>
        <scheme val="none"/>
      </font>
      <numFmt numFmtId="164" formatCode="_(* #,##0_);_(* \(#,##0\);_(* &quot;-&quot;??_);_(@_)"/>
    </odxf>
    <ndxf>
      <font>
        <sz val="10"/>
        <color theme="1"/>
        <name val="Arial"/>
        <family val="2"/>
        <scheme val="none"/>
      </font>
      <numFmt numFmtId="3" formatCode="#,##0"/>
    </ndxf>
  </rcc>
  <rcc rId="3977" sId="11" odxf="1" dxf="1" numFmtId="4">
    <nc r="AU30">
      <v>0</v>
    </nc>
    <odxf>
      <font>
        <sz val="10"/>
        <color auto="1"/>
        <name val="Arial"/>
        <family val="2"/>
        <scheme val="none"/>
      </font>
      <numFmt numFmtId="164" formatCode="_(* #,##0_);_(* \(#,##0\);_(* &quot;-&quot;??_);_(@_)"/>
    </odxf>
    <ndxf>
      <font>
        <sz val="10"/>
        <color theme="1"/>
        <name val="Arial"/>
        <family val="2"/>
        <scheme val="none"/>
      </font>
      <numFmt numFmtId="3" formatCode="#,##0"/>
    </ndxf>
  </rcc>
  <rcc rId="3978" sId="11" odxf="1" dxf="1" numFmtId="4">
    <nc r="AU31">
      <v>0</v>
    </nc>
    <odxf>
      <font>
        <sz val="10"/>
        <color auto="1"/>
        <name val="Arial"/>
        <family val="2"/>
        <scheme val="none"/>
      </font>
      <numFmt numFmtId="164" formatCode="_(* #,##0_);_(* \(#,##0\);_(* &quot;-&quot;??_);_(@_)"/>
    </odxf>
    <ndxf>
      <font>
        <sz val="10"/>
        <color theme="1"/>
        <name val="Arial"/>
        <family val="2"/>
        <scheme val="none"/>
      </font>
      <numFmt numFmtId="3" formatCode="#,##0"/>
    </ndxf>
  </rcc>
  <rcc rId="3979" sId="11" odxf="1" dxf="1" numFmtId="4">
    <nc r="AU32">
      <v>0</v>
    </nc>
    <odxf>
      <font>
        <sz val="10"/>
        <color auto="1"/>
        <name val="Arial"/>
        <family val="2"/>
        <scheme val="none"/>
      </font>
      <numFmt numFmtId="164" formatCode="_(* #,##0_);_(* \(#,##0\);_(* &quot;-&quot;??_);_(@_)"/>
    </odxf>
    <ndxf>
      <font>
        <sz val="10"/>
        <color theme="1"/>
        <name val="Arial"/>
        <family val="2"/>
        <scheme val="none"/>
      </font>
      <numFmt numFmtId="3" formatCode="#,##0"/>
    </ndxf>
  </rcc>
  <rcc rId="3980" sId="11" odxf="1" dxf="1" numFmtId="4">
    <nc r="AU33">
      <v>0</v>
    </nc>
    <odxf>
      <font>
        <sz val="10"/>
        <color auto="1"/>
        <name val="Arial"/>
        <family val="2"/>
        <scheme val="none"/>
      </font>
      <numFmt numFmtId="164" formatCode="_(* #,##0_);_(* \(#,##0\);_(* &quot;-&quot;??_);_(@_)"/>
    </odxf>
    <ndxf>
      <font>
        <sz val="10"/>
        <color theme="1"/>
        <name val="Arial"/>
        <family val="2"/>
        <scheme val="none"/>
      </font>
      <numFmt numFmtId="3" formatCode="#,##0"/>
    </ndxf>
  </rcc>
  <rcc rId="3981" sId="11" odxf="1" dxf="1" numFmtId="4">
    <nc r="AU34">
      <v>0</v>
    </nc>
    <odxf>
      <font>
        <sz val="10"/>
        <color auto="1"/>
        <name val="Arial"/>
        <family val="2"/>
        <scheme val="none"/>
      </font>
      <numFmt numFmtId="164" formatCode="_(* #,##0_);_(* \(#,##0\);_(* &quot;-&quot;??_);_(@_)"/>
    </odxf>
    <ndxf>
      <font>
        <sz val="10"/>
        <color theme="1"/>
        <name val="Arial"/>
        <family val="2"/>
        <scheme val="none"/>
      </font>
      <numFmt numFmtId="3" formatCode="#,##0"/>
    </ndxf>
  </rcc>
  <rcc rId="3982" sId="11" numFmtId="34">
    <nc r="AU36">
      <v>0</v>
    </nc>
  </rcc>
  <rfmt sheetId="11" sqref="AU36">
    <dxf>
      <numFmt numFmtId="3" formatCode="#,##0"/>
    </dxf>
  </rfmt>
  <rcc rId="3983" sId="11" odxf="1" dxf="1" numFmtId="4">
    <nc r="AU37">
      <v>0</v>
    </nc>
    <odxf>
      <numFmt numFmtId="164" formatCode="_(* #,##0_);_(* \(#,##0\);_(* &quot;-&quot;??_);_(@_)"/>
    </odxf>
    <ndxf>
      <numFmt numFmtId="3" formatCode="#,##0"/>
    </ndxf>
  </rcc>
  <rcc rId="3984" sId="11" odxf="1" dxf="1" numFmtId="4">
    <nc r="AU38">
      <v>0</v>
    </nc>
    <odxf>
      <numFmt numFmtId="164" formatCode="_(* #,##0_);_(* \(#,##0\);_(* &quot;-&quot;??_);_(@_)"/>
    </odxf>
    <ndxf>
      <numFmt numFmtId="3" formatCode="#,##0"/>
    </ndxf>
  </rcc>
  <rcc rId="3985" sId="11" odxf="1" dxf="1" numFmtId="4">
    <nc r="AU39">
      <v>0</v>
    </nc>
    <odxf>
      <numFmt numFmtId="164" formatCode="_(* #,##0_);_(* \(#,##0\);_(* &quot;-&quot;??_);_(@_)"/>
    </odxf>
    <ndxf>
      <numFmt numFmtId="3" formatCode="#,##0"/>
    </ndxf>
  </rcc>
  <rcc rId="3986" sId="11" odxf="1" dxf="1" numFmtId="4">
    <nc r="AU40">
      <v>0</v>
    </nc>
    <odxf>
      <numFmt numFmtId="164" formatCode="_(* #,##0_);_(* \(#,##0\);_(* &quot;-&quot;??_);_(@_)"/>
    </odxf>
    <ndxf>
      <numFmt numFmtId="3" formatCode="#,##0"/>
    </ndxf>
  </rcc>
  <rcc rId="3987" sId="11" odxf="1" dxf="1" numFmtId="4">
    <nc r="AU41">
      <v>0</v>
    </nc>
    <odxf>
      <numFmt numFmtId="164" formatCode="_(* #,##0_);_(* \(#,##0\);_(* &quot;-&quot;??_);_(@_)"/>
    </odxf>
    <ndxf>
      <numFmt numFmtId="3" formatCode="#,##0"/>
    </ndxf>
  </rcc>
  <rcc rId="3988" sId="11" odxf="1" dxf="1" numFmtId="4">
    <nc r="AU42">
      <v>0</v>
    </nc>
    <odxf>
      <numFmt numFmtId="164" formatCode="_(* #,##0_);_(* \(#,##0\);_(* &quot;-&quot;??_);_(@_)"/>
    </odxf>
    <ndxf>
      <numFmt numFmtId="3" formatCode="#,##0"/>
    </ndxf>
  </rcc>
  <rcc rId="3989" sId="11" odxf="1" dxf="1" numFmtId="4">
    <nc r="AU43">
      <v>0</v>
    </nc>
    <odxf>
      <numFmt numFmtId="164" formatCode="_(* #,##0_);_(* \(#,##0\);_(* &quot;-&quot;??_);_(@_)"/>
    </odxf>
    <ndxf>
      <numFmt numFmtId="3" formatCode="#,##0"/>
    </ndxf>
  </rcc>
  <rcc rId="3990" sId="11" odxf="1" dxf="1" numFmtId="4">
    <nc r="AU44">
      <v>0</v>
    </nc>
    <odxf>
      <numFmt numFmtId="164" formatCode="_(* #,##0_);_(* \(#,##0\);_(* &quot;-&quot;??_);_(@_)"/>
    </odxf>
    <ndxf>
      <numFmt numFmtId="3" formatCode="#,##0"/>
    </ndxf>
  </rcc>
  <rcc rId="3991" sId="11" odxf="1" s="1" dxf="1" numFmtId="4">
    <nc r="AU45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protection locked="0" hidden="0"/>
    </odxf>
    <ndxf>
      <numFmt numFmtId="3" formatCode="#,##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92" sId="11" odxf="1" dxf="1" numFmtId="4">
    <nc r="AU46">
      <v>0</v>
    </nc>
    <odxf>
      <numFmt numFmtId="164" formatCode="_(* #,##0_);_(* \(#,##0\);_(* &quot;-&quot;??_);_(@_)"/>
    </odxf>
    <ndxf>
      <numFmt numFmtId="3" formatCode="#,##0"/>
    </ndxf>
  </rcc>
  <rcc rId="3993" sId="11" odxf="1" dxf="1" numFmtId="4">
    <nc r="AU47">
      <v>0</v>
    </nc>
    <odxf>
      <numFmt numFmtId="164" formatCode="_(* #,##0_);_(* \(#,##0\);_(* &quot;-&quot;??_);_(@_)"/>
    </odxf>
    <ndxf>
      <numFmt numFmtId="3" formatCode="#,##0"/>
    </ndxf>
  </rcc>
  <rcc rId="3994" sId="11" odxf="1" s="1" dxf="1" numFmtId="4">
    <nc r="AU48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protection locked="0" hidden="0"/>
    </odxf>
    <ndxf>
      <numFmt numFmtId="3" formatCode="#,##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95" sId="11" odxf="1" dxf="1" numFmtId="4">
    <nc r="AU49">
      <v>0</v>
    </nc>
    <odxf>
      <numFmt numFmtId="164" formatCode="_(* #,##0_);_(* \(#,##0\);_(* &quot;-&quot;??_);_(@_)"/>
    </odxf>
    <ndxf>
      <numFmt numFmtId="3" formatCode="#,##0"/>
    </ndxf>
  </rcc>
  <rcc rId="3996" sId="11" odxf="1" dxf="1" numFmtId="4">
    <nc r="AU50">
      <v>0</v>
    </nc>
    <odxf>
      <numFmt numFmtId="164" formatCode="_(* #,##0_);_(* \(#,##0\);_(* &quot;-&quot;??_);_(@_)"/>
    </odxf>
    <ndxf>
      <numFmt numFmtId="3" formatCode="#,##0"/>
    </ndxf>
  </rcc>
  <rcc rId="3997" sId="11" numFmtId="34">
    <nc r="AU53">
      <v>0</v>
    </nc>
  </rcc>
  <rfmt sheetId="11" sqref="AU53">
    <dxf>
      <numFmt numFmtId="3" formatCode="#,##0"/>
    </dxf>
  </rfmt>
  <rcc rId="3998" sId="11" odxf="1" dxf="1" numFmtId="4">
    <nc r="AU54">
      <v>0</v>
    </nc>
    <odxf>
      <font>
        <color rgb="FF00B050"/>
        <family val="2"/>
      </font>
      <numFmt numFmtId="164" formatCode="_(* #,##0_);_(* \(#,##0\);_(* &quot;-&quot;??_);_(@_)"/>
    </odxf>
    <ndxf>
      <font>
        <sz val="10"/>
        <color auto="1"/>
        <name val="Arial"/>
        <family val="2"/>
        <scheme val="none"/>
      </font>
      <numFmt numFmtId="3" formatCode="#,##0"/>
    </ndxf>
  </rcc>
  <rcc rId="3999" sId="11" odxf="1" dxf="1" numFmtId="4">
    <nc r="AU55">
      <v>0</v>
    </nc>
    <odxf>
      <numFmt numFmtId="164" formatCode="_(* #,##0_);_(* \(#,##0\);_(* &quot;-&quot;??_);_(@_)"/>
    </odxf>
    <ndxf>
      <numFmt numFmtId="3" formatCode="#,##0"/>
    </ndxf>
  </rcc>
  <rcc rId="4000" sId="11" numFmtId="34">
    <nc r="AU58">
      <v>0</v>
    </nc>
  </rcc>
  <rfmt sheetId="11" sqref="AU58">
    <dxf>
      <numFmt numFmtId="3" formatCode="#,##0"/>
    </dxf>
  </rfmt>
  <rcc rId="4001" sId="11" odxf="1" dxf="1" numFmtId="4">
    <nc r="AU59">
      <v>0</v>
    </nc>
    <odxf>
      <numFmt numFmtId="164" formatCode="_(* #,##0_);_(* \(#,##0\);_(* &quot;-&quot;??_);_(@_)"/>
    </odxf>
    <ndxf>
      <numFmt numFmtId="3" formatCode="#,##0"/>
    </ndxf>
  </rcc>
  <rcc rId="4002" sId="11" odxf="1" s="1" dxf="1" numFmtId="4">
    <nc r="AU60">
      <v>0</v>
    </nc>
    <o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family val="2"/>
        <scheme val="none"/>
      </font>
      <numFmt numFmtId="3" formatCode="#,##0"/>
      <protection locked="0"/>
    </ndxf>
  </rcc>
  <rcc rId="4003" sId="11" odxf="1" s="1" dxf="1" numFmtId="4">
    <nc r="AU61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family val="2"/>
        <scheme val="none"/>
      </font>
      <numFmt numFmtId="3" formatCode="#,##0"/>
      <protection locked="0"/>
    </ndxf>
  </rcc>
  <rcc rId="4004" sId="11" odxf="1" s="1" dxf="1" numFmtId="4">
    <nc r="AU62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auto="1"/>
        <name val="Arial"/>
        <family val="2"/>
        <scheme val="none"/>
      </font>
      <numFmt numFmtId="3" formatCode="#,##0"/>
      <protection locked="0"/>
    </ndxf>
  </rcc>
  <rcc rId="4005" sId="11" odxf="1" s="1" dxf="1" numFmtId="4">
    <nc r="AU63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protection locked="0" hidden="0"/>
    </odxf>
    <ndxf>
      <numFmt numFmtId="3" formatCode="#,##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06" sId="11" odxf="1" dxf="1" numFmtId="4">
    <nc r="AU64">
      <v>0</v>
    </nc>
    <odxf>
      <numFmt numFmtId="164" formatCode="_(* #,##0_);_(* \(#,##0\);_(* &quot;-&quot;??_);_(@_)"/>
    </odxf>
    <ndxf>
      <numFmt numFmtId="3" formatCode="#,##0"/>
    </ndxf>
  </rcc>
  <rcc rId="4007" sId="11" odxf="1" dxf="1" numFmtId="4">
    <nc r="AU65">
      <v>0</v>
    </nc>
    <odxf>
      <numFmt numFmtId="164" formatCode="_(* #,##0_);_(* \(#,##0\);_(* &quot;-&quot;??_);_(@_)"/>
    </odxf>
    <ndxf>
      <numFmt numFmtId="3" formatCode="#,##0"/>
    </ndxf>
  </rcc>
  <rcc rId="4008" sId="11" odxf="1" dxf="1" numFmtId="4">
    <nc r="AU66">
      <v>0</v>
    </nc>
    <odxf>
      <numFmt numFmtId="164" formatCode="_(* #,##0_);_(* \(#,##0\);_(* &quot;-&quot;??_);_(@_)"/>
    </odxf>
    <ndxf>
      <numFmt numFmtId="3" formatCode="#,##0"/>
    </ndxf>
  </rcc>
  <rcc rId="4009" sId="11" odxf="1" dxf="1" numFmtId="4">
    <nc r="AU67">
      <v>0</v>
    </nc>
    <odxf>
      <numFmt numFmtId="164" formatCode="_(* #,##0_);_(* \(#,##0\);_(* &quot;-&quot;??_);_(@_)"/>
    </odxf>
    <ndxf>
      <numFmt numFmtId="3" formatCode="#,##0"/>
    </ndxf>
  </rcc>
  <rcc rId="4010" sId="11" numFmtId="34">
    <nc r="AU68">
      <v>0</v>
    </nc>
  </rcc>
  <rfmt sheetId="11" sqref="AU68">
    <dxf>
      <numFmt numFmtId="3" formatCode="#,##0"/>
    </dxf>
  </rfmt>
  <rcc rId="4011" sId="11" numFmtId="34">
    <nc r="AU69">
      <v>0</v>
    </nc>
  </rcc>
  <rfmt sheetId="11" sqref="AU69">
    <dxf>
      <numFmt numFmtId="3" formatCode="#,##0"/>
    </dxf>
  </rfmt>
  <rcc rId="4012" sId="11" numFmtId="34">
    <nc r="AU70">
      <v>0</v>
    </nc>
  </rcc>
  <rfmt sheetId="11" sqref="AU70">
    <dxf>
      <numFmt numFmtId="3" formatCode="#,##0"/>
    </dxf>
  </rfmt>
  <rcc rId="4013" sId="11" numFmtId="34">
    <nc r="AU72">
      <v>0</v>
    </nc>
  </rcc>
  <rfmt sheetId="11" sqref="AU72">
    <dxf>
      <numFmt numFmtId="3" formatCode="#,##0"/>
    </dxf>
  </rfmt>
  <rcc rId="4014" sId="11" odxf="1" dxf="1" numFmtId="4">
    <nc r="AU73">
      <v>0</v>
    </nc>
    <odxf>
      <numFmt numFmtId="164" formatCode="_(* #,##0_);_(* \(#,##0\);_(* &quot;-&quot;??_);_(@_)"/>
    </odxf>
    <ndxf>
      <numFmt numFmtId="3" formatCode="#,##0"/>
    </ndxf>
  </rcc>
  <rcc rId="4015" sId="11" odxf="1" dxf="1" numFmtId="4">
    <nc r="AU74">
      <v>0</v>
    </nc>
    <odxf>
      <numFmt numFmtId="164" formatCode="_(* #,##0_);_(* \(#,##0\);_(* &quot;-&quot;??_);_(@_)"/>
    </odxf>
    <ndxf>
      <numFmt numFmtId="3" formatCode="#,##0"/>
    </ndxf>
  </rcc>
  <rcc rId="4016" sId="11" odxf="1" dxf="1" numFmtId="4">
    <nc r="AU75">
      <v>0</v>
    </nc>
    <odxf>
      <numFmt numFmtId="164" formatCode="_(* #,##0_);_(* \(#,##0\);_(* &quot;-&quot;??_);_(@_)"/>
    </odxf>
    <ndxf>
      <numFmt numFmtId="3" formatCode="#,##0"/>
    </ndxf>
  </rcc>
  <rcc rId="4017" sId="11" odxf="1" dxf="1" numFmtId="4">
    <nc r="AT3">
      <v>0</v>
    </nc>
    <odxf>
      <numFmt numFmtId="164" formatCode="_(* #,##0_);_(* \(#,##0\);_(* &quot;-&quot;??_);_(@_)"/>
    </odxf>
    <ndxf>
      <numFmt numFmtId="3" formatCode="#,##0"/>
    </ndxf>
  </rcc>
  <rcc rId="4018" sId="11" odxf="1" dxf="1" numFmtId="4">
    <nc r="AT4">
      <v>0</v>
    </nc>
    <odxf>
      <font>
        <color rgb="FF0070C0"/>
        <family val="2"/>
      </font>
      <numFmt numFmtId="164" formatCode="_(* #,##0_);_(* \(#,##0\);_(* &quot;-&quot;??_);_(@_)"/>
    </odxf>
    <ndxf>
      <font>
        <sz val="10"/>
        <color auto="1"/>
        <name val="Arial"/>
        <family val="2"/>
        <scheme val="none"/>
      </font>
      <numFmt numFmtId="3" formatCode="#,##0"/>
    </ndxf>
  </rcc>
  <rcc rId="4019" sId="11" odxf="1" dxf="1" numFmtId="4">
    <nc r="AT5">
      <v>0</v>
    </nc>
    <odxf>
      <font>
        <color rgb="FF0070C0"/>
        <family val="2"/>
      </font>
      <numFmt numFmtId="164" formatCode="_(* #,##0_);_(* \(#,##0\);_(* &quot;-&quot;??_);_(@_)"/>
    </odxf>
    <ndxf>
      <font>
        <sz val="10"/>
        <color auto="1"/>
        <name val="Arial"/>
        <family val="2"/>
        <scheme val="none"/>
      </font>
      <numFmt numFmtId="3" formatCode="#,##0"/>
    </ndxf>
  </rcc>
  <rcc rId="4020" sId="11" odxf="1" dxf="1" numFmtId="4">
    <nc r="AT6">
      <v>0</v>
    </nc>
    <odxf>
      <numFmt numFmtId="164" formatCode="_(* #,##0_);_(* \(#,##0\);_(* &quot;-&quot;??_);_(@_)"/>
    </odxf>
    <ndxf>
      <numFmt numFmtId="3" formatCode="#,##0"/>
    </ndxf>
  </rcc>
  <rcc rId="4021" sId="11" odxf="1" dxf="1" numFmtId="4">
    <nc r="AT7">
      <v>0</v>
    </nc>
    <odxf>
      <numFmt numFmtId="164" formatCode="_(* #,##0_);_(* \(#,##0\);_(* &quot;-&quot;??_);_(@_)"/>
    </odxf>
    <ndxf>
      <numFmt numFmtId="3" formatCode="#,##0"/>
    </ndxf>
  </rcc>
  <rcc rId="4022" sId="11" odxf="1" dxf="1" numFmtId="4">
    <nc r="AT8">
      <v>0</v>
    </nc>
    <odxf>
      <font>
        <color rgb="FF00B050"/>
        <family val="2"/>
      </font>
      <numFmt numFmtId="164" formatCode="_(* #,##0_);_(* \(#,##0\);_(* &quot;-&quot;??_);_(@_)"/>
    </odxf>
    <ndxf>
      <font>
        <sz val="10"/>
        <color auto="1"/>
        <name val="Arial"/>
        <family val="2"/>
        <scheme val="none"/>
      </font>
      <numFmt numFmtId="3" formatCode="#,##0"/>
    </ndxf>
  </rcc>
  <rcc rId="4023" sId="11" odxf="1" dxf="1" numFmtId="4">
    <nc r="AT9">
      <v>0</v>
    </nc>
    <odxf>
      <numFmt numFmtId="164" formatCode="_(* #,##0_);_(* \(#,##0\);_(* &quot;-&quot;??_);_(@_)"/>
    </odxf>
    <ndxf>
      <numFmt numFmtId="3" formatCode="#,##0"/>
    </ndxf>
  </rcc>
  <rcc rId="4024" sId="11" odxf="1" dxf="1" numFmtId="4">
    <nc r="AT10">
      <v>0</v>
    </nc>
    <odxf>
      <numFmt numFmtId="164" formatCode="_(* #,##0_);_(* \(#,##0\);_(* &quot;-&quot;??_);_(@_)"/>
    </odxf>
    <ndxf>
      <numFmt numFmtId="3" formatCode="#,##0"/>
    </ndxf>
  </rcc>
  <rcc rId="4025" sId="11" odxf="1" dxf="1" numFmtId="4">
    <nc r="AT11">
      <v>0</v>
    </nc>
    <odxf>
      <numFmt numFmtId="164" formatCode="_(* #,##0_);_(* \(#,##0\);_(* &quot;-&quot;??_);_(@_)"/>
    </odxf>
    <ndxf>
      <numFmt numFmtId="3" formatCode="#,##0"/>
    </ndxf>
  </rcc>
  <rcc rId="4026" sId="11" odxf="1" dxf="1" numFmtId="4">
    <nc r="AT12">
      <v>0</v>
    </nc>
    <odxf>
      <numFmt numFmtId="164" formatCode="_(* #,##0_);_(* \(#,##0\);_(* &quot;-&quot;??_);_(@_)"/>
    </odxf>
    <ndxf>
      <numFmt numFmtId="3" formatCode="#,##0"/>
    </ndxf>
  </rcc>
  <rcc rId="4027" sId="11" odxf="1" dxf="1" numFmtId="4">
    <nc r="AT13">
      <v>0</v>
    </nc>
    <odxf>
      <font>
        <b/>
        <family val="2"/>
      </font>
      <numFmt numFmtId="164" formatCode="_(* #,##0_);_(* \(#,##0\);_(* &quot;-&quot;??_);_(@_)"/>
    </odxf>
    <ndxf>
      <font>
        <b val="0"/>
        <sz val="10"/>
        <color auto="1"/>
        <name val="Arial"/>
        <family val="2"/>
        <scheme val="none"/>
      </font>
      <numFmt numFmtId="3" formatCode="#,##0"/>
    </ndxf>
  </rcc>
  <rcc rId="4028" sId="11" odxf="1" dxf="1" numFmtId="4">
    <nc r="AT14">
      <v>0</v>
    </nc>
    <odxf>
      <font>
        <b/>
        <family val="2"/>
      </font>
      <numFmt numFmtId="164" formatCode="_(* #,##0_);_(* \(#,##0\);_(* &quot;-&quot;??_);_(@_)"/>
    </odxf>
    <ndxf>
      <font>
        <b val="0"/>
        <sz val="10"/>
        <color auto="1"/>
        <name val="Arial"/>
        <family val="2"/>
        <scheme val="none"/>
      </font>
      <numFmt numFmtId="3" formatCode="#,##0"/>
    </ndxf>
  </rcc>
  <rcc rId="4029" sId="11" odxf="1" dxf="1" numFmtId="4">
    <nc r="AT15">
      <v>0</v>
    </nc>
    <odxf>
      <numFmt numFmtId="164" formatCode="_(* #,##0_);_(* \(#,##0\);_(* &quot;-&quot;??_);_(@_)"/>
    </odxf>
    <ndxf>
      <numFmt numFmtId="3" formatCode="#,##0"/>
    </ndxf>
  </rcc>
  <rcc rId="4030" sId="11" odxf="1" dxf="1" numFmtId="4">
    <nc r="AT16">
      <v>0</v>
    </nc>
    <odxf>
      <numFmt numFmtId="164" formatCode="_(* #,##0_);_(* \(#,##0\);_(* &quot;-&quot;??_);_(@_)"/>
    </odxf>
    <ndxf>
      <numFmt numFmtId="3" formatCode="#,##0"/>
    </ndxf>
  </rcc>
  <rcc rId="4031" sId="11" odxf="1" dxf="1" numFmtId="4">
    <nc r="AT17">
      <v>0</v>
    </nc>
    <odxf>
      <numFmt numFmtId="164" formatCode="_(* #,##0_);_(* \(#,##0\);_(* &quot;-&quot;??_);_(@_)"/>
    </odxf>
    <ndxf>
      <numFmt numFmtId="3" formatCode="#,##0"/>
    </ndxf>
  </rcc>
  <rcc rId="4032" sId="11" odxf="1" dxf="1" numFmtId="4">
    <nc r="AT18">
      <v>0</v>
    </nc>
    <odxf>
      <numFmt numFmtId="164" formatCode="_(* #,##0_);_(* \(#,##0\);_(* &quot;-&quot;??_);_(@_)"/>
    </odxf>
    <ndxf>
      <numFmt numFmtId="3" formatCode="#,##0"/>
    </ndxf>
  </rcc>
  <rcc rId="4033" sId="11" odxf="1" dxf="1" numFmtId="4">
    <nc r="AT19">
      <v>0</v>
    </nc>
    <odxf>
      <numFmt numFmtId="164" formatCode="_(* #,##0_);_(* \(#,##0\);_(* &quot;-&quot;??_);_(@_)"/>
    </odxf>
    <ndxf>
      <numFmt numFmtId="3" formatCode="#,##0"/>
    </ndxf>
  </rcc>
  <rcc rId="4034" sId="11" odxf="1" dxf="1" numFmtId="4">
    <nc r="AT20">
      <v>0</v>
    </nc>
    <odxf>
      <numFmt numFmtId="164" formatCode="_(* #,##0_);_(* \(#,##0\);_(* &quot;-&quot;??_);_(@_)"/>
    </odxf>
    <ndxf>
      <numFmt numFmtId="3" formatCode="#,##0"/>
    </ndxf>
  </rcc>
  <rcc rId="4035" sId="11" odxf="1" dxf="1" numFmtId="4">
    <nc r="AT21">
      <v>0</v>
    </nc>
    <odxf>
      <numFmt numFmtId="164" formatCode="_(* #,##0_);_(* \(#,##0\);_(* &quot;-&quot;??_);_(@_)"/>
    </odxf>
    <ndxf>
      <numFmt numFmtId="3" formatCode="#,##0"/>
    </ndxf>
  </rcc>
  <rcc rId="4036" sId="11" odxf="1" dxf="1" numFmtId="4">
    <nc r="AT22">
      <v>0</v>
    </nc>
    <odxf>
      <numFmt numFmtId="164" formatCode="_(* #,##0_);_(* \(#,##0\);_(* &quot;-&quot;??_);_(@_)"/>
    </odxf>
    <ndxf>
      <numFmt numFmtId="3" formatCode="#,##0"/>
    </ndxf>
  </rcc>
  <rcc rId="4037" sId="11" odxf="1" dxf="1" numFmtId="4">
    <nc r="AT23">
      <v>0</v>
    </nc>
    <odxf>
      <numFmt numFmtId="164" formatCode="_(* #,##0_);_(* \(#,##0\);_(* &quot;-&quot;??_);_(@_)"/>
    </odxf>
    <ndxf>
      <numFmt numFmtId="3" formatCode="#,##0"/>
    </ndxf>
  </rcc>
  <rcc rId="4038" sId="11" odxf="1" dxf="1" numFmtId="4">
    <nc r="AT24">
      <v>0</v>
    </nc>
    <odxf>
      <numFmt numFmtId="164" formatCode="_(* #,##0_);_(* \(#,##0\);_(* &quot;-&quot;??_);_(@_)"/>
    </odxf>
    <ndxf>
      <numFmt numFmtId="3" formatCode="#,##0"/>
    </ndxf>
  </rcc>
  <rcc rId="4039" sId="11" odxf="1" dxf="1" numFmtId="4">
    <nc r="AT25">
      <v>0</v>
    </nc>
    <odxf>
      <numFmt numFmtId="164" formatCode="_(* #,##0_);_(* \(#,##0\);_(* &quot;-&quot;??_);_(@_)"/>
    </odxf>
    <ndxf>
      <numFmt numFmtId="3" formatCode="#,##0"/>
    </ndxf>
  </rcc>
  <rcc rId="4040" sId="11" odxf="1" dxf="1" numFmtId="4">
    <nc r="AT26">
      <v>0</v>
    </nc>
    <odxf>
      <font>
        <b/>
        <family val="2"/>
      </font>
      <numFmt numFmtId="164" formatCode="_(* #,##0_);_(* \(#,##0\);_(* &quot;-&quot;??_);_(@_)"/>
    </odxf>
    <ndxf>
      <font>
        <b val="0"/>
        <sz val="10"/>
        <color auto="1"/>
        <name val="Arial"/>
        <family val="2"/>
        <scheme val="none"/>
      </font>
      <numFmt numFmtId="3" formatCode="#,##0"/>
    </ndxf>
  </rcc>
  <rcc rId="4041" sId="11" odxf="1" dxf="1" numFmtId="4">
    <nc r="AT27">
      <v>0</v>
    </nc>
    <odxf>
      <numFmt numFmtId="164" formatCode="_(* #,##0_);_(* \(#,##0\);_(* &quot;-&quot;??_);_(@_)"/>
    </odxf>
    <ndxf>
      <numFmt numFmtId="3" formatCode="#,##0"/>
    </ndxf>
  </rcc>
  <rcc rId="4042" sId="11" odxf="1" dxf="1" numFmtId="4">
    <nc r="AT28">
      <v>0</v>
    </nc>
    <odxf>
      <numFmt numFmtId="164" formatCode="_(* #,##0_);_(* \(#,##0\);_(* &quot;-&quot;??_);_(@_)"/>
    </odxf>
    <ndxf>
      <numFmt numFmtId="3" formatCode="#,##0"/>
    </ndxf>
  </rcc>
  <rcc rId="4043" sId="11" odxf="1" dxf="1" numFmtId="4">
    <nc r="AT29">
      <v>0</v>
    </nc>
    <odxf>
      <font>
        <b/>
        <family val="2"/>
      </font>
      <numFmt numFmtId="164" formatCode="_(* #,##0_);_(* \(#,##0\);_(* &quot;-&quot;??_);_(@_)"/>
    </odxf>
    <ndxf>
      <font>
        <b val="0"/>
        <sz val="10"/>
        <color auto="1"/>
        <name val="Arial"/>
        <family val="2"/>
        <scheme val="none"/>
      </font>
      <numFmt numFmtId="3" formatCode="#,##0"/>
    </ndxf>
  </rcc>
  <rcc rId="4044" sId="11" odxf="1" dxf="1" numFmtId="4">
    <nc r="AT30">
      <v>0</v>
    </nc>
    <odxf>
      <numFmt numFmtId="164" formatCode="_(* #,##0_);_(* \(#,##0\);_(* &quot;-&quot;??_);_(@_)"/>
    </odxf>
    <ndxf>
      <numFmt numFmtId="3" formatCode="#,##0"/>
    </ndxf>
  </rcc>
  <rcc rId="4045" sId="11" odxf="1" dxf="1" numFmtId="4">
    <nc r="AT31">
      <v>0</v>
    </nc>
    <odxf>
      <font>
        <b/>
        <family val="2"/>
      </font>
      <numFmt numFmtId="164" formatCode="_(* #,##0_);_(* \(#,##0\);_(* &quot;-&quot;??_);_(@_)"/>
    </odxf>
    <ndxf>
      <font>
        <b val="0"/>
        <sz val="10"/>
        <color auto="1"/>
        <name val="Arial"/>
        <family val="2"/>
        <scheme val="none"/>
      </font>
      <numFmt numFmtId="3" formatCode="#,##0"/>
    </ndxf>
  </rcc>
  <rcc rId="4046" sId="11" odxf="1" dxf="1" numFmtId="4">
    <nc r="AT32">
      <v>0</v>
    </nc>
    <odxf>
      <numFmt numFmtId="164" formatCode="_(* #,##0_);_(* \(#,##0\);_(* &quot;-&quot;??_);_(@_)"/>
    </odxf>
    <ndxf>
      <numFmt numFmtId="3" formatCode="#,##0"/>
    </ndxf>
  </rcc>
  <rcc rId="4047" sId="11" odxf="1" dxf="1" numFmtId="4">
    <nc r="AT33">
      <v>0</v>
    </nc>
    <odxf>
      <numFmt numFmtId="164" formatCode="_(* #,##0_);_(* \(#,##0\);_(* &quot;-&quot;??_);_(@_)"/>
    </odxf>
    <ndxf>
      <numFmt numFmtId="3" formatCode="#,##0"/>
    </ndxf>
  </rcc>
  <rcc rId="4048" sId="11" odxf="1" dxf="1" numFmtId="4">
    <nc r="AT34">
      <v>0</v>
    </nc>
    <odxf>
      <numFmt numFmtId="164" formatCode="_(* #,##0_);_(* \(#,##0\);_(* &quot;-&quot;??_);_(@_)"/>
    </odxf>
    <ndxf>
      <numFmt numFmtId="3" formatCode="#,##0"/>
    </ndxf>
  </rcc>
  <rcc rId="4049" sId="11" odxf="1" dxf="1" numFmtId="4">
    <nc r="AT35">
      <v>0</v>
    </nc>
    <odxf>
      <numFmt numFmtId="164" formatCode="_(* #,##0_);_(* \(#,##0\);_(* &quot;-&quot;??_);_(@_)"/>
    </odxf>
    <ndxf>
      <numFmt numFmtId="3" formatCode="#,##0"/>
    </ndxf>
  </rcc>
  <rcc rId="4050" sId="11" odxf="1" dxf="1" numFmtId="4">
    <nc r="AT36">
      <v>0</v>
    </nc>
    <odxf>
      <numFmt numFmtId="164" formatCode="_(* #,##0_);_(* \(#,##0\);_(* &quot;-&quot;??_);_(@_)"/>
      <alignment horizontal="center" vertical="top"/>
    </odxf>
    <ndxf>
      <numFmt numFmtId="3" formatCode="#,##0"/>
      <alignment horizontal="general" vertical="bottom"/>
    </ndxf>
  </rcc>
  <rcc rId="4051" sId="11" odxf="1" dxf="1" numFmtId="4">
    <nc r="AT37">
      <v>0</v>
    </nc>
    <odxf>
      <font>
        <b/>
        <family val="2"/>
      </font>
      <numFmt numFmtId="164" formatCode="_(* #,##0_);_(* \(#,##0\);_(* &quot;-&quot;??_);_(@_)"/>
    </odxf>
    <ndxf>
      <font>
        <b val="0"/>
        <sz val="10"/>
        <color auto="1"/>
        <name val="Arial"/>
        <family val="2"/>
        <scheme val="none"/>
      </font>
      <numFmt numFmtId="3" formatCode="#,##0"/>
    </ndxf>
  </rcc>
  <rcc rId="4052" sId="11" odxf="1" dxf="1" numFmtId="4">
    <nc r="AT38">
      <v>0</v>
    </nc>
    <odxf>
      <numFmt numFmtId="164" formatCode="_(* #,##0_);_(* \(#,##0\);_(* &quot;-&quot;??_);_(@_)"/>
    </odxf>
    <ndxf>
      <numFmt numFmtId="3" formatCode="#,##0"/>
    </ndxf>
  </rcc>
  <rcc rId="4053" sId="11" odxf="1" dxf="1" numFmtId="4">
    <nc r="AT39">
      <v>0</v>
    </nc>
    <odxf>
      <numFmt numFmtId="164" formatCode="_(* #,##0_);_(* \(#,##0\);_(* &quot;-&quot;??_);_(@_)"/>
    </odxf>
    <ndxf>
      <numFmt numFmtId="3" formatCode="#,##0"/>
    </ndxf>
  </rcc>
  <rcc rId="4054" sId="11" odxf="1" dxf="1" numFmtId="4">
    <nc r="AT40">
      <v>0</v>
    </nc>
    <odxf>
      <numFmt numFmtId="164" formatCode="_(* #,##0_);_(* \(#,##0\);_(* &quot;-&quot;??_);_(@_)"/>
    </odxf>
    <ndxf>
      <numFmt numFmtId="3" formatCode="#,##0"/>
    </ndxf>
  </rcc>
  <rcc rId="4055" sId="11" odxf="1" dxf="1" numFmtId="4">
    <nc r="AT41">
      <v>0</v>
    </nc>
    <odxf>
      <numFmt numFmtId="164" formatCode="_(* #,##0_);_(* \(#,##0\);_(* &quot;-&quot;??_);_(@_)"/>
    </odxf>
    <ndxf>
      <numFmt numFmtId="3" formatCode="#,##0"/>
    </ndxf>
  </rcc>
  <rcc rId="4056" sId="11" odxf="1" dxf="1" numFmtId="4">
    <nc r="AT42">
      <v>0</v>
    </nc>
    <odxf>
      <font>
        <b/>
        <family val="2"/>
      </font>
      <numFmt numFmtId="164" formatCode="_(* #,##0_);_(* \(#,##0\);_(* &quot;-&quot;??_);_(@_)"/>
    </odxf>
    <ndxf>
      <font>
        <b val="0"/>
        <sz val="10"/>
        <color auto="1"/>
        <name val="Arial"/>
        <family val="2"/>
        <scheme val="none"/>
      </font>
      <numFmt numFmtId="3" formatCode="#,##0"/>
    </ndxf>
  </rcc>
  <rcc rId="4057" sId="11" odxf="1" dxf="1" numFmtId="4">
    <nc r="AT43">
      <v>0</v>
    </nc>
    <odxf>
      <numFmt numFmtId="164" formatCode="_(* #,##0_);_(* \(#,##0\);_(* &quot;-&quot;??_);_(@_)"/>
    </odxf>
    <ndxf>
      <numFmt numFmtId="3" formatCode="#,##0"/>
    </ndxf>
  </rcc>
  <rcc rId="4058" sId="11" odxf="1" dxf="1" numFmtId="4">
    <nc r="AT44">
      <v>0</v>
    </nc>
    <odxf>
      <numFmt numFmtId="164" formatCode="_(* #,##0_);_(* \(#,##0\);_(* &quot;-&quot;??_);_(@_)"/>
    </odxf>
    <ndxf>
      <numFmt numFmtId="3" formatCode="#,##0"/>
    </ndxf>
  </rcc>
  <rcc rId="4059" sId="11" odxf="1" dxf="1" numFmtId="4">
    <nc r="AT45">
      <v>0</v>
    </nc>
    <odxf>
      <numFmt numFmtId="164" formatCode="_(* #,##0_);_(* \(#,##0\);_(* &quot;-&quot;??_);_(@_)"/>
    </odxf>
    <ndxf>
      <numFmt numFmtId="3" formatCode="#,##0"/>
    </ndxf>
  </rcc>
  <rcc rId="4060" sId="11" odxf="1" dxf="1" numFmtId="4">
    <nc r="AT46">
      <v>0</v>
    </nc>
    <odxf>
      <numFmt numFmtId="164" formatCode="_(* #,##0_);_(* \(#,##0\);_(* &quot;-&quot;??_);_(@_)"/>
    </odxf>
    <ndxf>
      <numFmt numFmtId="3" formatCode="#,##0"/>
    </ndxf>
  </rcc>
  <rcc rId="4061" sId="11" odxf="1" dxf="1" numFmtId="4">
    <nc r="AT47">
      <v>0</v>
    </nc>
    <odxf>
      <numFmt numFmtId="164" formatCode="_(* #,##0_);_(* \(#,##0\);_(* &quot;-&quot;??_);_(@_)"/>
    </odxf>
    <ndxf>
      <numFmt numFmtId="3" formatCode="#,##0"/>
    </ndxf>
  </rcc>
  <rcc rId="4062" sId="11" odxf="1" dxf="1" numFmtId="4">
    <nc r="AT48">
      <v>0</v>
    </nc>
    <odxf>
      <numFmt numFmtId="164" formatCode="_(* #,##0_);_(* \(#,##0\);_(* &quot;-&quot;??_);_(@_)"/>
    </odxf>
    <ndxf>
      <numFmt numFmtId="3" formatCode="#,##0"/>
    </ndxf>
  </rcc>
  <rcc rId="4063" sId="11" odxf="1" dxf="1" numFmtId="4">
    <nc r="AT49">
      <v>0</v>
    </nc>
    <odxf>
      <font>
        <color rgb="FF0070C0"/>
        <family val="2"/>
      </font>
      <numFmt numFmtId="164" formatCode="_(* #,##0_);_(* \(#,##0\);_(* &quot;-&quot;??_);_(@_)"/>
      <alignment horizontal="center" vertical="top"/>
    </odxf>
    <ndxf>
      <font>
        <sz val="10"/>
        <color auto="1"/>
        <name val="Arial"/>
        <family val="2"/>
        <scheme val="none"/>
      </font>
      <numFmt numFmtId="3" formatCode="#,##0"/>
      <alignment horizontal="general" vertical="bottom"/>
    </ndxf>
  </rcc>
  <rcc rId="4064" sId="11" odxf="1" dxf="1" numFmtId="4">
    <nc r="AT50">
      <v>0</v>
    </nc>
    <odxf>
      <numFmt numFmtId="164" formatCode="_(* #,##0_);_(* \(#,##0\);_(* &quot;-&quot;??_);_(@_)"/>
    </odxf>
    <ndxf>
      <numFmt numFmtId="3" formatCode="#,##0"/>
    </ndxf>
  </rcc>
  <rcc rId="4065" sId="11" odxf="1" dxf="1" numFmtId="4">
    <nc r="AT51">
      <v>0</v>
    </nc>
    <odxf>
      <numFmt numFmtId="164" formatCode="_(* #,##0_);_(* \(#,##0\);_(* &quot;-&quot;??_);_(@_)"/>
    </odxf>
    <ndxf>
      <numFmt numFmtId="3" formatCode="#,##0"/>
    </ndxf>
  </rcc>
  <rcc rId="4066" sId="11" odxf="1" dxf="1" numFmtId="4">
    <nc r="AT52">
      <v>0</v>
    </nc>
    <odxf>
      <numFmt numFmtId="164" formatCode="_(* #,##0_);_(* \(#,##0\);_(* &quot;-&quot;??_);_(@_)"/>
    </odxf>
    <ndxf>
      <numFmt numFmtId="3" formatCode="#,##0"/>
    </ndxf>
  </rcc>
  <rcc rId="4067" sId="11" odxf="1" dxf="1" numFmtId="4">
    <nc r="AT53">
      <v>0</v>
    </nc>
    <odxf>
      <numFmt numFmtId="164" formatCode="_(* #,##0_);_(* \(#,##0\);_(* &quot;-&quot;??_);_(@_)"/>
    </odxf>
    <ndxf>
      <numFmt numFmtId="3" formatCode="#,##0"/>
    </ndxf>
  </rcc>
  <rcc rId="4068" sId="11" odxf="1" dxf="1" numFmtId="4">
    <nc r="AT54">
      <v>0</v>
    </nc>
    <odxf>
      <numFmt numFmtId="164" formatCode="_(* #,##0_);_(* \(#,##0\);_(* &quot;-&quot;??_);_(@_)"/>
    </odxf>
    <ndxf>
      <numFmt numFmtId="3" formatCode="#,##0"/>
    </ndxf>
  </rcc>
  <rcc rId="4069" sId="11" odxf="1" dxf="1" numFmtId="4">
    <nc r="AT55">
      <v>0</v>
    </nc>
    <odxf>
      <font>
        <color rgb="FF0070C0"/>
        <family val="2"/>
      </font>
      <numFmt numFmtId="164" formatCode="_(* #,##0_);_(* \(#,##0\);_(* &quot;-&quot;??_);_(@_)"/>
    </odxf>
    <ndxf>
      <font>
        <sz val="10"/>
        <color auto="1"/>
        <name val="Arial"/>
        <family val="2"/>
        <scheme val="none"/>
      </font>
      <numFmt numFmtId="3" formatCode="#,##0"/>
    </ndxf>
  </rcc>
  <rcc rId="4070" sId="11" odxf="1" dxf="1" numFmtId="4">
    <nc r="AT56">
      <v>0</v>
    </nc>
    <odxf>
      <numFmt numFmtId="164" formatCode="_(* #,##0_);_(* \(#,##0\);_(* &quot;-&quot;??_);_(@_)"/>
    </odxf>
    <ndxf>
      <numFmt numFmtId="3" formatCode="#,##0"/>
    </ndxf>
  </rcc>
  <rcc rId="4071" sId="11" odxf="1" dxf="1" numFmtId="4">
    <nc r="AT57">
      <v>0</v>
    </nc>
    <odxf>
      <numFmt numFmtId="164" formatCode="_(* #,##0_);_(* \(#,##0\);_(* &quot;-&quot;??_);_(@_)"/>
    </odxf>
    <ndxf>
      <numFmt numFmtId="3" formatCode="#,##0"/>
    </ndxf>
  </rcc>
  <rcc rId="4072" sId="11" numFmtId="34">
    <nc r="AT59">
      <v>0</v>
    </nc>
  </rcc>
  <rfmt sheetId="11" sqref="AT59">
    <dxf>
      <numFmt numFmtId="3" formatCode="#,##0"/>
    </dxf>
  </rfmt>
  <rcc rId="4073" sId="11" numFmtId="34">
    <nc r="AT62">
      <v>0</v>
    </nc>
  </rcc>
  <rfmt sheetId="11" sqref="AT62">
    <dxf>
      <numFmt numFmtId="3" formatCode="#,##0"/>
    </dxf>
  </rfmt>
  <rcc rId="4074" sId="11" numFmtId="34">
    <nc r="AT64">
      <v>0</v>
    </nc>
  </rcc>
  <rfmt sheetId="11" sqref="AT64">
    <dxf>
      <numFmt numFmtId="3" formatCode="#,##0"/>
    </dxf>
  </rfmt>
  <rcc rId="4075" sId="11" odxf="1" dxf="1" numFmtId="4">
    <nc r="AT65">
      <v>0</v>
    </nc>
    <odxf>
      <numFmt numFmtId="164" formatCode="_(* #,##0_);_(* \(#,##0\);_(* &quot;-&quot;??_);_(@_)"/>
    </odxf>
    <ndxf>
      <numFmt numFmtId="3" formatCode="#,##0"/>
    </ndxf>
  </rcc>
  <rcc rId="4076" sId="11" odxf="1" dxf="1" numFmtId="4">
    <nc r="AT66">
      <v>0</v>
    </nc>
    <odxf>
      <numFmt numFmtId="164" formatCode="_(* #,##0_);_(* \(#,##0\);_(* &quot;-&quot;??_);_(@_)"/>
    </odxf>
    <ndxf>
      <numFmt numFmtId="3" formatCode="#,##0"/>
    </ndxf>
  </rcc>
  <rcc rId="4077" sId="11" odxf="1" dxf="1" numFmtId="4">
    <nc r="AT67">
      <v>0</v>
    </nc>
    <odxf>
      <numFmt numFmtId="164" formatCode="_(* #,##0_);_(* \(#,##0\);_(* &quot;-&quot;??_);_(@_)"/>
    </odxf>
    <ndxf>
      <numFmt numFmtId="3" formatCode="#,##0"/>
    </ndxf>
  </rcc>
  <rcc rId="4078" sId="11" numFmtId="34">
    <nc r="AT68">
      <v>0</v>
    </nc>
  </rcc>
  <rfmt sheetId="11" sqref="AT68">
    <dxf>
      <numFmt numFmtId="3" formatCode="#,##0"/>
    </dxf>
  </rfmt>
  <rcc rId="4079" sId="11" numFmtId="34">
    <nc r="AT69">
      <v>0</v>
    </nc>
  </rcc>
  <rfmt sheetId="11" sqref="AT69">
    <dxf>
      <numFmt numFmtId="3" formatCode="#,##0"/>
    </dxf>
  </rfmt>
  <rcc rId="4080" sId="11" odxf="1" dxf="1" numFmtId="4">
    <nc r="AT70">
      <v>0</v>
    </nc>
    <odxf>
      <numFmt numFmtId="164" formatCode="_(* #,##0_);_(* \(#,##0\);_(* &quot;-&quot;??_);_(@_)"/>
    </odxf>
    <ndxf>
      <numFmt numFmtId="3" formatCode="#,##0"/>
    </ndxf>
  </rcc>
  <rcc rId="4081" sId="11" odxf="1" dxf="1" numFmtId="4">
    <nc r="AT71">
      <v>0</v>
    </nc>
    <odxf>
      <numFmt numFmtId="164" formatCode="_(* #,##0_);_(* \(#,##0\);_(* &quot;-&quot;??_);_(@_)"/>
    </odxf>
    <ndxf>
      <numFmt numFmtId="3" formatCode="#,##0"/>
    </ndxf>
  </rcc>
  <rcc rId="4082" sId="11" odxf="1" dxf="1" numFmtId="4">
    <nc r="AT72">
      <v>0</v>
    </nc>
    <odxf>
      <numFmt numFmtId="164" formatCode="_(* #,##0_);_(* \(#,##0\);_(* &quot;-&quot;??_);_(@_)"/>
    </odxf>
    <ndxf>
      <numFmt numFmtId="3" formatCode="#,##0"/>
    </ndxf>
  </rcc>
  <rcc rId="4083" sId="11" odxf="1" dxf="1" numFmtId="4">
    <nc r="AT73">
      <v>0</v>
    </nc>
    <odxf>
      <numFmt numFmtId="164" formatCode="_(* #,##0_);_(* \(#,##0\);_(* &quot;-&quot;??_);_(@_)"/>
    </odxf>
    <ndxf>
      <numFmt numFmtId="3" formatCode="#,##0"/>
    </ndxf>
  </rcc>
  <rcc rId="4084" sId="11" odxf="1" dxf="1" numFmtId="4">
    <nc r="AT74">
      <v>0</v>
    </nc>
    <odxf>
      <numFmt numFmtId="164" formatCode="_(* #,##0_);_(* \(#,##0\);_(* &quot;-&quot;??_);_(@_)"/>
    </odxf>
    <ndxf>
      <numFmt numFmtId="3" formatCode="#,##0"/>
    </ndxf>
  </rcc>
  <rcc rId="4085" sId="11" odxf="1" s="1" dxf="1" numFmtId="4">
    <nc r="AT75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odxf>
    <ndxf>
      <numFmt numFmtId="3" formatCode="#,##0"/>
    </ndxf>
  </rcc>
  <rcc rId="4086" sId="11" odxf="1" s="1" dxf="1" numFmtId="4">
    <nc r="AT76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odxf>
    <ndxf>
      <numFmt numFmtId="3" formatCode="#,##0"/>
    </ndxf>
  </rcc>
  <rcc rId="4087" sId="11" odxf="1" dxf="1" numFmtId="4">
    <nc r="AS3">
      <v>0</v>
    </nc>
    <odxf>
      <numFmt numFmtId="164" formatCode="_(* #,##0_);_(* \(#,##0\);_(* &quot;-&quot;??_);_(@_)"/>
    </odxf>
    <ndxf>
      <numFmt numFmtId="3" formatCode="#,##0"/>
    </ndxf>
  </rcc>
  <rcc rId="4088" sId="11" odxf="1" dxf="1" numFmtId="4">
    <nc r="AS4">
      <v>0</v>
    </nc>
    <odxf>
      <numFmt numFmtId="164" formatCode="_(* #,##0_);_(* \(#,##0\);_(* &quot;-&quot;??_);_(@_)"/>
    </odxf>
    <ndxf>
      <numFmt numFmtId="3" formatCode="#,##0"/>
    </ndxf>
  </rcc>
  <rcc rId="4089" sId="11" odxf="1" dxf="1" numFmtId="4">
    <nc r="AS5">
      <v>0</v>
    </nc>
    <odxf>
      <numFmt numFmtId="164" formatCode="_(* #,##0_);_(* \(#,##0\);_(* &quot;-&quot;??_);_(@_)"/>
    </odxf>
    <ndxf>
      <numFmt numFmtId="3" formatCode="#,##0"/>
    </ndxf>
  </rcc>
  <rcc rId="4090" sId="11" odxf="1" dxf="1" numFmtId="4">
    <nc r="AS6">
      <v>0</v>
    </nc>
    <odxf>
      <numFmt numFmtId="164" formatCode="_(* #,##0_);_(* \(#,##0\);_(* &quot;-&quot;??_);_(@_)"/>
    </odxf>
    <ndxf>
      <numFmt numFmtId="3" formatCode="#,##0"/>
    </ndxf>
  </rcc>
  <rcc rId="4091" sId="11" odxf="1" dxf="1" numFmtId="4">
    <nc r="AS7">
      <v>0</v>
    </nc>
    <odxf>
      <numFmt numFmtId="164" formatCode="_(* #,##0_);_(* \(#,##0\);_(* &quot;-&quot;??_);_(@_)"/>
    </odxf>
    <ndxf>
      <numFmt numFmtId="3" formatCode="#,##0"/>
    </ndxf>
  </rcc>
  <rcc rId="4092" sId="11" odxf="1" dxf="1" numFmtId="4">
    <nc r="AS8">
      <v>0</v>
    </nc>
    <odxf>
      <numFmt numFmtId="164" formatCode="_(* #,##0_);_(* \(#,##0\);_(* &quot;-&quot;??_);_(@_)"/>
    </odxf>
    <ndxf>
      <numFmt numFmtId="3" formatCode="#,##0"/>
    </ndxf>
  </rcc>
  <rcc rId="4093" sId="11" numFmtId="34">
    <nc r="AS10">
      <v>0</v>
    </nc>
  </rcc>
  <rfmt sheetId="11" sqref="AS10">
    <dxf>
      <numFmt numFmtId="3" formatCode="#,##0"/>
    </dxf>
  </rfmt>
  <rcc rId="4094" sId="11" numFmtId="34">
    <nc r="AS12">
      <v>0</v>
    </nc>
  </rcc>
  <rfmt sheetId="11" sqref="AS12">
    <dxf>
      <numFmt numFmtId="3" formatCode="#,##0"/>
    </dxf>
  </rfmt>
  <rcc rId="4095" sId="11" odxf="1" dxf="1" numFmtId="4">
    <nc r="AS13">
      <v>0</v>
    </nc>
    <odxf>
      <numFmt numFmtId="164" formatCode="_(* #,##0_);_(* \(#,##0\);_(* &quot;-&quot;??_);_(@_)"/>
    </odxf>
    <ndxf>
      <numFmt numFmtId="3" formatCode="#,##0"/>
    </ndxf>
  </rcc>
  <rcc rId="4096" sId="11" numFmtId="34">
    <nc r="AS15">
      <v>0</v>
    </nc>
  </rcc>
  <rfmt sheetId="11" sqref="AS15">
    <dxf>
      <numFmt numFmtId="3" formatCode="#,##0"/>
    </dxf>
  </rfmt>
  <rcc rId="4097" sId="11" odxf="1" dxf="1" numFmtId="4">
    <nc r="AS16">
      <v>0</v>
    </nc>
    <odxf>
      <numFmt numFmtId="164" formatCode="_(* #,##0_);_(* \(#,##0\);_(* &quot;-&quot;??_);_(@_)"/>
    </odxf>
    <ndxf>
      <numFmt numFmtId="3" formatCode="#,##0"/>
    </ndxf>
  </rcc>
  <rcc rId="4098" sId="11" odxf="1" s="1" dxf="1" numFmtId="4">
    <nc r="AS17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protection locked="0" hidden="0"/>
    </odxf>
    <ndxf>
      <numFmt numFmtId="3" formatCode="#,##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99" sId="11" odxf="1" dxf="1" numFmtId="4">
    <nc r="AS18">
      <v>0</v>
    </nc>
    <odxf>
      <numFmt numFmtId="164" formatCode="_(* #,##0_);_(* \(#,##0\);_(* &quot;-&quot;??_);_(@_)"/>
    </odxf>
    <ndxf>
      <numFmt numFmtId="3" formatCode="#,##0"/>
    </ndxf>
  </rcc>
  <rcc rId="4100" sId="11" odxf="1" dxf="1" numFmtId="4">
    <nc r="AS19">
      <v>0</v>
    </nc>
    <odxf>
      <numFmt numFmtId="164" formatCode="_(* #,##0_);_(* \(#,##0\);_(* &quot;-&quot;??_);_(@_)"/>
    </odxf>
    <ndxf>
      <numFmt numFmtId="3" formatCode="#,##0"/>
    </ndxf>
  </rcc>
  <rcc rId="4101" sId="11" odxf="1" dxf="1" numFmtId="4">
    <nc r="AS20">
      <v>0</v>
    </nc>
    <odxf>
      <numFmt numFmtId="164" formatCode="_(* #,##0_);_(* \(#,##0\);_(* &quot;-&quot;??_);_(@_)"/>
    </odxf>
    <ndxf>
      <numFmt numFmtId="3" formatCode="#,##0"/>
    </ndxf>
  </rcc>
  <rcc rId="4102" sId="11" odxf="1" dxf="1" numFmtId="4">
    <nc r="AS21">
      <v>0</v>
    </nc>
    <odxf>
      <numFmt numFmtId="164" formatCode="_(* #,##0_);_(* \(#,##0\);_(* &quot;-&quot;??_);_(@_)"/>
    </odxf>
    <ndxf>
      <numFmt numFmtId="3" formatCode="#,##0"/>
    </ndxf>
  </rcc>
  <rcc rId="4103" sId="11" odxf="1" s="1" dxf="1" numFmtId="4">
    <nc r="AS22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protection locked="0" hidden="0"/>
    </odxf>
    <ndxf>
      <numFmt numFmtId="3" formatCode="#,##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04" sId="11" odxf="1" dxf="1" numFmtId="4">
    <nc r="AS23">
      <v>0</v>
    </nc>
    <odxf>
      <font>
        <color theme="1"/>
        <family val="2"/>
      </font>
      <numFmt numFmtId="164" formatCode="_(* #,##0_);_(* \(#,##0\);_(* &quot;-&quot;??_);_(@_)"/>
    </odxf>
    <ndxf>
      <font>
        <sz val="10"/>
        <color auto="1"/>
        <name val="Arial"/>
        <family val="2"/>
        <scheme val="none"/>
      </font>
      <numFmt numFmtId="3" formatCode="#,##0"/>
    </ndxf>
  </rcc>
  <rcc rId="4105" sId="11" odxf="1" dxf="1" numFmtId="4">
    <nc r="AS24">
      <v>0</v>
    </nc>
    <odxf>
      <numFmt numFmtId="164" formatCode="_(* #,##0_);_(* \(#,##0\);_(* &quot;-&quot;??_);_(@_)"/>
    </odxf>
    <ndxf>
      <numFmt numFmtId="3" formatCode="#,##0"/>
    </ndxf>
  </rcc>
  <rcc rId="4106" sId="11" odxf="1" dxf="1" numFmtId="4">
    <nc r="AS25">
      <v>0</v>
    </nc>
    <odxf>
      <numFmt numFmtId="164" formatCode="_(* #,##0_);_(* \(#,##0\);_(* &quot;-&quot;??_);_(@_)"/>
    </odxf>
    <ndxf>
      <numFmt numFmtId="3" formatCode="#,##0"/>
    </ndxf>
  </rcc>
  <rcc rId="4107" sId="11" odxf="1" dxf="1" numFmtId="4">
    <nc r="AS26">
      <v>0</v>
    </nc>
    <odxf>
      <numFmt numFmtId="164" formatCode="_(* #,##0_);_(* \(#,##0\);_(* &quot;-&quot;??_);_(@_)"/>
    </odxf>
    <ndxf>
      <numFmt numFmtId="3" formatCode="#,##0"/>
    </ndxf>
  </rcc>
  <rcc rId="4108" sId="11" odxf="1" dxf="1" numFmtId="4">
    <nc r="AS27">
      <v>0</v>
    </nc>
    <odxf>
      <numFmt numFmtId="164" formatCode="_(* #,##0_);_(* \(#,##0\);_(* &quot;-&quot;??_);_(@_)"/>
    </odxf>
    <ndxf>
      <numFmt numFmtId="3" formatCode="#,##0"/>
    </ndxf>
  </rcc>
  <rcc rId="4109" sId="11" odxf="1" dxf="1" numFmtId="4">
    <nc r="AS28">
      <v>0</v>
    </nc>
    <odxf>
      <numFmt numFmtId="164" formatCode="_(* #,##0_);_(* \(#,##0\);_(* &quot;-&quot;??_);_(@_)"/>
    </odxf>
    <ndxf>
      <numFmt numFmtId="3" formatCode="#,##0"/>
    </ndxf>
  </rcc>
  <rcc rId="4110" sId="11" odxf="1" dxf="1" numFmtId="4">
    <nc r="AS29">
      <v>0</v>
    </nc>
    <odxf>
      <numFmt numFmtId="164" formatCode="_(* #,##0_);_(* \(#,##0\);_(* &quot;-&quot;??_);_(@_)"/>
    </odxf>
    <ndxf>
      <numFmt numFmtId="3" formatCode="#,##0"/>
    </ndxf>
  </rcc>
  <rcc rId="4111" sId="11" odxf="1" dxf="1" numFmtId="4">
    <nc r="AS30">
      <v>0</v>
    </nc>
    <odxf>
      <numFmt numFmtId="164" formatCode="_(* #,##0_);_(* \(#,##0\);_(* &quot;-&quot;??_);_(@_)"/>
    </odxf>
    <ndxf>
      <numFmt numFmtId="3" formatCode="#,##0"/>
    </ndxf>
  </rcc>
  <rcc rId="4112" sId="11" odxf="1" dxf="1" numFmtId="4">
    <nc r="AS31">
      <v>0</v>
    </nc>
    <odxf>
      <numFmt numFmtId="164" formatCode="_(* #,##0_);_(* \(#,##0\);_(* &quot;-&quot;??_);_(@_)"/>
    </odxf>
    <ndxf>
      <numFmt numFmtId="3" formatCode="#,##0"/>
    </ndxf>
  </rcc>
  <rcc rId="4113" sId="11" odxf="1" dxf="1" numFmtId="4">
    <nc r="AS32">
      <v>0</v>
    </nc>
    <odxf>
      <numFmt numFmtId="164" formatCode="_(* #,##0_);_(* \(#,##0\);_(* &quot;-&quot;??_);_(@_)"/>
    </odxf>
    <ndxf>
      <numFmt numFmtId="3" formatCode="#,##0"/>
    </ndxf>
  </rcc>
  <rcc rId="4114" sId="11" odxf="1" dxf="1" numFmtId="4">
    <nc r="AS33">
      <v>0</v>
    </nc>
    <odxf>
      <numFmt numFmtId="164" formatCode="_(* #,##0_);_(* \(#,##0\);_(* &quot;-&quot;??_);_(@_)"/>
    </odxf>
    <ndxf>
      <numFmt numFmtId="3" formatCode="#,##0"/>
    </ndxf>
  </rcc>
  <rcc rId="4115" sId="11" odxf="1" dxf="1" numFmtId="4">
    <nc r="AS34">
      <v>0</v>
    </nc>
    <odxf>
      <numFmt numFmtId="164" formatCode="_(* #,##0_);_(* \(#,##0\);_(* &quot;-&quot;??_);_(@_)"/>
    </odxf>
    <ndxf>
      <numFmt numFmtId="3" formatCode="#,##0"/>
    </ndxf>
  </rcc>
  <rcc rId="4116" sId="11" odxf="1" dxf="1" numFmtId="4">
    <nc r="AS35">
      <v>0</v>
    </nc>
    <odxf>
      <numFmt numFmtId="164" formatCode="_(* #,##0_);_(* \(#,##0\);_(* &quot;-&quot;??_);_(@_)"/>
    </odxf>
    <ndxf>
      <numFmt numFmtId="3" formatCode="#,##0"/>
    </ndxf>
  </rcc>
  <rcc rId="4117" sId="11" odxf="1" dxf="1" numFmtId="4">
    <nc r="AS36">
      <v>0</v>
    </nc>
    <odxf>
      <numFmt numFmtId="164" formatCode="_(* #,##0_);_(* \(#,##0\);_(* &quot;-&quot;??_);_(@_)"/>
    </odxf>
    <ndxf>
      <numFmt numFmtId="3" formatCode="#,##0"/>
    </ndxf>
  </rcc>
  <rcc rId="4118" sId="11" odxf="1" dxf="1" numFmtId="4">
    <nc r="AS37">
      <v>0</v>
    </nc>
    <odxf>
      <numFmt numFmtId="164" formatCode="_(* #,##0_);_(* \(#,##0\);_(* &quot;-&quot;??_);_(@_)"/>
    </odxf>
    <ndxf>
      <numFmt numFmtId="3" formatCode="#,##0"/>
    </ndxf>
  </rcc>
  <rcc rId="4119" sId="11" odxf="1" dxf="1" numFmtId="4">
    <nc r="AS38">
      <v>0</v>
    </nc>
    <odxf>
      <numFmt numFmtId="164" formatCode="_(* #,##0_);_(* \(#,##0\);_(* &quot;-&quot;??_);_(@_)"/>
    </odxf>
    <ndxf>
      <numFmt numFmtId="3" formatCode="#,##0"/>
    </ndxf>
  </rcc>
  <rcc rId="4120" sId="11" odxf="1" dxf="1" numFmtId="4">
    <nc r="AS39">
      <v>0</v>
    </nc>
    <odxf>
      <numFmt numFmtId="164" formatCode="_(* #,##0_);_(* \(#,##0\);_(* &quot;-&quot;??_);_(@_)"/>
    </odxf>
    <ndxf>
      <numFmt numFmtId="3" formatCode="#,##0"/>
    </ndxf>
  </rcc>
  <rcc rId="4121" sId="11" odxf="1" dxf="1" numFmtId="4">
    <nc r="AS40">
      <v>0</v>
    </nc>
    <odxf>
      <numFmt numFmtId="164" formatCode="_(* #,##0_);_(* \(#,##0\);_(* &quot;-&quot;??_);_(@_)"/>
    </odxf>
    <ndxf>
      <numFmt numFmtId="3" formatCode="#,##0"/>
    </ndxf>
  </rcc>
  <rcc rId="4122" sId="11" odxf="1" dxf="1" numFmtId="4">
    <nc r="AS41">
      <v>0</v>
    </nc>
    <odxf>
      <numFmt numFmtId="164" formatCode="_(* #,##0_);_(* \(#,##0\);_(* &quot;-&quot;??_);_(@_)"/>
    </odxf>
    <ndxf>
      <numFmt numFmtId="3" formatCode="#,##0"/>
    </ndxf>
  </rcc>
  <rcc rId="4123" sId="11" odxf="1" dxf="1" numFmtId="4">
    <nc r="AS42">
      <v>0</v>
    </nc>
    <odxf>
      <numFmt numFmtId="164" formatCode="_(* #,##0_);_(* \(#,##0\);_(* &quot;-&quot;??_);_(@_)"/>
    </odxf>
    <ndxf>
      <numFmt numFmtId="3" formatCode="#,##0"/>
    </ndxf>
  </rcc>
  <rcc rId="4124" sId="11" odxf="1" dxf="1" numFmtId="4">
    <nc r="AS43">
      <v>0</v>
    </nc>
    <odxf>
      <numFmt numFmtId="164" formatCode="_(* #,##0_);_(* \(#,##0\);_(* &quot;-&quot;??_);_(@_)"/>
    </odxf>
    <ndxf>
      <numFmt numFmtId="3" formatCode="#,##0"/>
    </ndxf>
  </rcc>
  <rcc rId="4125" sId="11" odxf="1" dxf="1" numFmtId="4">
    <nc r="AS44">
      <v>0</v>
    </nc>
    <odxf>
      <numFmt numFmtId="164" formatCode="_(* #,##0_);_(* \(#,##0\);_(* &quot;-&quot;??_);_(@_)"/>
    </odxf>
    <ndxf>
      <numFmt numFmtId="3" formatCode="#,##0"/>
    </ndxf>
  </rcc>
  <rcc rId="4126" sId="11" odxf="1" dxf="1" numFmtId="4">
    <nc r="AS45">
      <v>0</v>
    </nc>
    <odxf>
      <numFmt numFmtId="164" formatCode="_(* #,##0_);_(* \(#,##0\);_(* &quot;-&quot;??_);_(@_)"/>
    </odxf>
    <ndxf>
      <numFmt numFmtId="3" formatCode="#,##0"/>
    </ndxf>
  </rcc>
  <rcc rId="4127" sId="11" odxf="1" dxf="1" numFmtId="4">
    <nc r="AS46">
      <v>0</v>
    </nc>
    <odxf>
      <numFmt numFmtId="164" formatCode="_(* #,##0_);_(* \(#,##0\);_(* &quot;-&quot;??_);_(@_)"/>
    </odxf>
    <ndxf>
      <numFmt numFmtId="3" formatCode="#,##0"/>
    </ndxf>
  </rcc>
  <rcc rId="4128" sId="11" odxf="1" dxf="1" numFmtId="4">
    <nc r="AS47">
      <v>0</v>
    </nc>
    <odxf>
      <numFmt numFmtId="164" formatCode="_(* #,##0_);_(* \(#,##0\);_(* &quot;-&quot;??_);_(@_)"/>
    </odxf>
    <ndxf>
      <numFmt numFmtId="3" formatCode="#,##0"/>
    </ndxf>
  </rcc>
  <rcc rId="4129" sId="11" odxf="1" dxf="1" numFmtId="4">
    <nc r="AS48">
      <v>0</v>
    </nc>
    <odxf>
      <numFmt numFmtId="164" formatCode="_(* #,##0_);_(* \(#,##0\);_(* &quot;-&quot;??_);_(@_)"/>
    </odxf>
    <ndxf>
      <numFmt numFmtId="3" formatCode="#,##0"/>
    </ndxf>
  </rcc>
  <rcc rId="4130" sId="11" odxf="1" dxf="1" numFmtId="4">
    <nc r="AS49">
      <v>0</v>
    </nc>
    <odxf>
      <numFmt numFmtId="164" formatCode="_(* #,##0_);_(* \(#,##0\);_(* &quot;-&quot;??_);_(@_)"/>
    </odxf>
    <ndxf>
      <numFmt numFmtId="3" formatCode="#,##0"/>
    </ndxf>
  </rcc>
  <rcc rId="4131" sId="11" odxf="1" dxf="1" numFmtId="4">
    <nc r="AS50">
      <v>0</v>
    </nc>
    <odxf>
      <numFmt numFmtId="164" formatCode="_(* #,##0_);_(* \(#,##0\);_(* &quot;-&quot;??_);_(@_)"/>
    </odxf>
    <ndxf>
      <numFmt numFmtId="3" formatCode="#,##0"/>
    </ndxf>
  </rcc>
  <rcc rId="4132" sId="11" odxf="1" dxf="1" numFmtId="4">
    <nc r="AS51">
      <v>0</v>
    </nc>
    <odxf>
      <numFmt numFmtId="164" formatCode="_(* #,##0_);_(* \(#,##0\);_(* &quot;-&quot;??_);_(@_)"/>
    </odxf>
    <ndxf>
      <numFmt numFmtId="3" formatCode="#,##0"/>
    </ndxf>
  </rcc>
  <rcc rId="4133" sId="11" odxf="1" dxf="1" numFmtId="4">
    <nc r="AS52">
      <v>0</v>
    </nc>
    <odxf>
      <numFmt numFmtId="164" formatCode="_(* #,##0_);_(* \(#,##0\);_(* &quot;-&quot;??_);_(@_)"/>
    </odxf>
    <ndxf>
      <numFmt numFmtId="3" formatCode="#,##0"/>
    </ndxf>
  </rcc>
  <rcc rId="4134" sId="11" odxf="1" dxf="1" numFmtId="4">
    <nc r="AS53">
      <v>0</v>
    </nc>
    <odxf>
      <numFmt numFmtId="164" formatCode="_(* #,##0_);_(* \(#,##0\);_(* &quot;-&quot;??_);_(@_)"/>
    </odxf>
    <ndxf>
      <numFmt numFmtId="3" formatCode="#,##0"/>
    </ndxf>
  </rcc>
  <rcc rId="4135" sId="11" odxf="1" dxf="1" numFmtId="4">
    <nc r="AS54">
      <v>0</v>
    </nc>
    <odxf>
      <numFmt numFmtId="164" formatCode="_(* #,##0_);_(* \(#,##0\);_(* &quot;-&quot;??_);_(@_)"/>
    </odxf>
    <ndxf>
      <numFmt numFmtId="3" formatCode="#,##0"/>
    </ndxf>
  </rcc>
  <rcc rId="4136" sId="11" odxf="1" dxf="1" numFmtId="4">
    <nc r="AS55">
      <v>0</v>
    </nc>
    <odxf>
      <numFmt numFmtId="164" formatCode="_(* #,##0_);_(* \(#,##0\);_(* &quot;-&quot;??_);_(@_)"/>
    </odxf>
    <ndxf>
      <numFmt numFmtId="3" formatCode="#,##0"/>
    </ndxf>
  </rcc>
  <rcc rId="4137" sId="11" odxf="1" dxf="1" numFmtId="4">
    <nc r="AS56">
      <v>0</v>
    </nc>
    <odxf>
      <numFmt numFmtId="164" formatCode="_(* #,##0_);_(* \(#,##0\);_(* &quot;-&quot;??_);_(@_)"/>
    </odxf>
    <ndxf>
      <numFmt numFmtId="3" formatCode="#,##0"/>
    </ndxf>
  </rcc>
  <rcc rId="4138" sId="11" odxf="1" dxf="1" numFmtId="4">
    <nc r="AS57">
      <v>0</v>
    </nc>
    <odxf>
      <numFmt numFmtId="164" formatCode="_(* #,##0_);_(* \(#,##0\);_(* &quot;-&quot;??_);_(@_)"/>
    </odxf>
    <ndxf>
      <numFmt numFmtId="3" formatCode="#,##0"/>
    </ndxf>
  </rcc>
  <rcc rId="4139" sId="11" odxf="1" dxf="1" numFmtId="4">
    <nc r="AS58">
      <v>0</v>
    </nc>
    <odxf>
      <numFmt numFmtId="164" formatCode="_(* #,##0_);_(* \(#,##0\);_(* &quot;-&quot;??_);_(@_)"/>
    </odxf>
    <ndxf>
      <numFmt numFmtId="3" formatCode="#,##0"/>
    </ndxf>
  </rcc>
  <rcc rId="4140" sId="11" numFmtId="34">
    <nc r="AS61">
      <v>0</v>
    </nc>
  </rcc>
  <rfmt sheetId="11" sqref="AS61">
    <dxf>
      <numFmt numFmtId="3" formatCode="#,##0"/>
    </dxf>
  </rfmt>
  <rcc rId="4141" sId="11" odxf="1" dxf="1" numFmtId="4">
    <nc r="AS62">
      <v>0</v>
    </nc>
    <odxf>
      <numFmt numFmtId="164" formatCode="_(* #,##0_);_(* \(#,##0\);_(* &quot;-&quot;??_);_(@_)"/>
    </odxf>
    <ndxf>
      <numFmt numFmtId="3" formatCode="#,##0"/>
    </ndxf>
  </rcc>
  <rcc rId="4142" sId="11" odxf="1" dxf="1" numFmtId="4">
    <nc r="AS63">
      <v>0</v>
    </nc>
    <odxf>
      <numFmt numFmtId="164" formatCode="_(* #,##0_);_(* \(#,##0\);_(* &quot;-&quot;??_);_(@_)"/>
    </odxf>
    <ndxf>
      <numFmt numFmtId="3" formatCode="#,##0"/>
    </ndxf>
  </rcc>
  <rcc rId="4143" sId="11" odxf="1" dxf="1" numFmtId="4">
    <nc r="AS64">
      <v>0</v>
    </nc>
    <odxf>
      <numFmt numFmtId="164" formatCode="_(* #,##0_);_(* \(#,##0\);_(* &quot;-&quot;??_);_(@_)"/>
    </odxf>
    <ndxf>
      <numFmt numFmtId="3" formatCode="#,##0"/>
    </ndxf>
  </rcc>
  <rcc rId="4144" sId="11" odxf="1" dxf="1" numFmtId="4">
    <nc r="AS65">
      <v>0</v>
    </nc>
    <odxf>
      <numFmt numFmtId="164" formatCode="_(* #,##0_);_(* \(#,##0\);_(* &quot;-&quot;??_);_(@_)"/>
    </odxf>
    <ndxf>
      <numFmt numFmtId="3" formatCode="#,##0"/>
    </ndxf>
  </rcc>
  <rcc rId="4145" sId="11" odxf="1" dxf="1" numFmtId="4">
    <nc r="AS66">
      <v>0</v>
    </nc>
    <odxf>
      <numFmt numFmtId="164" formatCode="_(* #,##0_);_(* \(#,##0\);_(* &quot;-&quot;??_);_(@_)"/>
    </odxf>
    <ndxf>
      <numFmt numFmtId="3" formatCode="#,##0"/>
    </ndxf>
  </rcc>
  <rcc rId="4146" sId="11" odxf="1" dxf="1" numFmtId="4">
    <nc r="AS67">
      <v>0</v>
    </nc>
    <odxf>
      <numFmt numFmtId="164" formatCode="_(* #,##0_);_(* \(#,##0\);_(* &quot;-&quot;??_);_(@_)"/>
    </odxf>
    <ndxf>
      <numFmt numFmtId="3" formatCode="#,##0"/>
    </ndxf>
  </rcc>
  <rcc rId="4147" sId="11" numFmtId="34">
    <nc r="AS68">
      <v>0</v>
    </nc>
  </rcc>
  <rfmt sheetId="11" sqref="AS68">
    <dxf>
      <numFmt numFmtId="3" formatCode="#,##0"/>
    </dxf>
  </rfmt>
  <rcc rId="4148" sId="11" numFmtId="34">
    <nc r="AS69">
      <v>0</v>
    </nc>
  </rcc>
  <rfmt sheetId="11" sqref="AS69">
    <dxf>
      <numFmt numFmtId="3" formatCode="#,##0"/>
    </dxf>
  </rfmt>
  <rcc rId="4149" sId="11" odxf="1" dxf="1" numFmtId="4">
    <nc r="AS70">
      <v>0</v>
    </nc>
    <odxf>
      <numFmt numFmtId="164" formatCode="_(* #,##0_);_(* \(#,##0\);_(* &quot;-&quot;??_);_(@_)"/>
    </odxf>
    <ndxf>
      <numFmt numFmtId="3" formatCode="#,##0"/>
    </ndxf>
  </rcc>
  <rcc rId="4150" sId="11" odxf="1" dxf="1" numFmtId="4">
    <nc r="AS71">
      <v>0</v>
    </nc>
    <odxf>
      <numFmt numFmtId="164" formatCode="_(* #,##0_);_(* \(#,##0\);_(* &quot;-&quot;??_);_(@_)"/>
    </odxf>
    <ndxf>
      <numFmt numFmtId="3" formatCode="#,##0"/>
    </ndxf>
  </rcc>
  <rcc rId="4151" sId="11" odxf="1" dxf="1" numFmtId="4">
    <nc r="AS72">
      <v>0</v>
    </nc>
    <odxf>
      <numFmt numFmtId="164" formatCode="_(* #,##0_);_(* \(#,##0\);_(* &quot;-&quot;??_);_(@_)"/>
    </odxf>
    <ndxf>
      <numFmt numFmtId="3" formatCode="#,##0"/>
    </ndxf>
  </rcc>
  <rcc rId="4152" sId="11" odxf="1" dxf="1" numFmtId="4">
    <nc r="AS73">
      <v>0</v>
    </nc>
    <odxf>
      <numFmt numFmtId="164" formatCode="_(* #,##0_);_(* \(#,##0\);_(* &quot;-&quot;??_);_(@_)"/>
    </odxf>
    <ndxf>
      <numFmt numFmtId="3" formatCode="#,##0"/>
    </ndxf>
  </rcc>
  <rcc rId="4153" sId="11" odxf="1" dxf="1" numFmtId="4">
    <nc r="AS74">
      <v>0</v>
    </nc>
    <odxf>
      <numFmt numFmtId="164" formatCode="_(* #,##0_);_(* \(#,##0\);_(* &quot;-&quot;??_);_(@_)"/>
    </odxf>
    <ndxf>
      <numFmt numFmtId="3" formatCode="#,##0"/>
    </ndxf>
  </rcc>
  <rcc rId="4154" sId="11" odxf="1" dxf="1" numFmtId="4">
    <nc r="AS75">
      <v>0</v>
    </nc>
    <odxf>
      <numFmt numFmtId="164" formatCode="_(* #,##0_);_(* \(#,##0\);_(* &quot;-&quot;??_);_(@_)"/>
    </odxf>
    <ndxf>
      <numFmt numFmtId="3" formatCode="#,##0"/>
    </ndxf>
  </rcc>
  <rcc rId="4155" sId="11" odxf="1" dxf="1" numFmtId="4">
    <nc r="AS76">
      <v>0</v>
    </nc>
    <odxf>
      <numFmt numFmtId="164" formatCode="_(* #,##0_);_(* \(#,##0\);_(* &quot;-&quot;??_);_(@_)"/>
    </odxf>
    <ndxf>
      <numFmt numFmtId="3" formatCode="#,##0"/>
    </ndxf>
  </rcc>
  <rcc rId="4156" sId="11" numFmtId="4">
    <nc r="AB3">
      <v>0</v>
    </nc>
  </rcc>
  <rcc rId="4157" sId="11" numFmtId="4">
    <nc r="AB4">
      <v>0</v>
    </nc>
  </rcc>
  <rcc rId="4158" sId="11" numFmtId="4">
    <nc r="AB5">
      <v>0</v>
    </nc>
  </rcc>
  <rcc rId="4159" sId="11" numFmtId="4">
    <nc r="AB6">
      <v>0</v>
    </nc>
  </rcc>
  <rcc rId="4160" sId="11" numFmtId="4">
    <nc r="AB7">
      <v>0</v>
    </nc>
  </rcc>
  <rcc rId="4161" sId="11" numFmtId="4">
    <nc r="AB8">
      <v>0</v>
    </nc>
  </rcc>
  <rcc rId="4162" sId="11" numFmtId="4">
    <nc r="AB10">
      <v>0</v>
    </nc>
  </rcc>
  <rcc rId="4163" sId="11" numFmtId="4">
    <nc r="AB12">
      <v>0</v>
    </nc>
  </rcc>
  <rcc rId="4164" sId="11" numFmtId="4">
    <nc r="AB14">
      <v>0</v>
    </nc>
  </rcc>
  <rcc rId="4165" sId="11" numFmtId="4">
    <nc r="AB15">
      <v>0</v>
    </nc>
  </rcc>
  <rcc rId="4166" sId="11" numFmtId="4">
    <nc r="AB16">
      <v>0</v>
    </nc>
  </rcc>
  <rcc rId="4167" sId="11" numFmtId="4">
    <nc r="AB17">
      <v>0</v>
    </nc>
  </rcc>
  <rcc rId="4168" sId="11" numFmtId="4">
    <nc r="AB18">
      <v>0</v>
    </nc>
  </rcc>
  <rcc rId="4169" sId="11" numFmtId="4">
    <nc r="AB19">
      <v>0</v>
    </nc>
  </rcc>
  <rcc rId="4170" sId="11" numFmtId="4">
    <nc r="AB20">
      <v>0</v>
    </nc>
  </rcc>
  <rcc rId="4171" sId="11" numFmtId="4">
    <nc r="AB21">
      <v>0</v>
    </nc>
  </rcc>
  <rcc rId="4172" sId="11" numFmtId="4">
    <nc r="AB22">
      <v>0</v>
    </nc>
  </rcc>
  <rcc rId="4173" sId="11" numFmtId="4">
    <nc r="AB23">
      <v>0</v>
    </nc>
  </rcc>
  <rcc rId="4174" sId="11" numFmtId="4">
    <nc r="AB24">
      <v>0</v>
    </nc>
  </rcc>
  <rcc rId="4175" sId="11" numFmtId="4">
    <nc r="AB25">
      <v>0</v>
    </nc>
  </rcc>
  <rcc rId="4176" sId="11" numFmtId="4">
    <nc r="AB26">
      <v>0</v>
    </nc>
  </rcc>
  <rcc rId="4177" sId="11" numFmtId="4">
    <nc r="AB27">
      <v>0</v>
    </nc>
  </rcc>
  <rcc rId="4178" sId="11" numFmtId="4">
    <nc r="AB28">
      <v>0</v>
    </nc>
  </rcc>
  <rcc rId="4179" sId="11" numFmtId="4">
    <nc r="AB29">
      <v>0</v>
    </nc>
  </rcc>
  <rcc rId="4180" sId="11" numFmtId="4">
    <nc r="AB30">
      <v>0</v>
    </nc>
  </rcc>
  <rcc rId="4181" sId="11" numFmtId="4">
    <nc r="AB31">
      <v>0</v>
    </nc>
  </rcc>
  <rcc rId="4182" sId="11" numFmtId="4">
    <nc r="AB32">
      <v>0</v>
    </nc>
  </rcc>
  <rcc rId="4183" sId="11" numFmtId="4">
    <nc r="AB33">
      <v>0</v>
    </nc>
  </rcc>
  <rcc rId="4184" sId="11" numFmtId="4">
    <nc r="AB34">
      <v>0</v>
    </nc>
  </rcc>
  <rcc rId="4185" sId="11" numFmtId="4">
    <nc r="AB35">
      <v>0</v>
    </nc>
  </rcc>
  <rcc rId="4186" sId="11" numFmtId="4">
    <nc r="AB36">
      <v>0</v>
    </nc>
  </rcc>
  <rcc rId="4187" sId="11" numFmtId="4">
    <nc r="AB37">
      <v>0</v>
    </nc>
  </rcc>
  <rcc rId="4188" sId="11" numFmtId="4">
    <nc r="AB38">
      <v>0</v>
    </nc>
  </rcc>
  <rcc rId="4189" sId="11" numFmtId="4">
    <nc r="AB39">
      <v>0</v>
    </nc>
  </rcc>
  <rcc rId="4190" sId="11" numFmtId="4">
    <nc r="AB40">
      <v>0</v>
    </nc>
  </rcc>
  <rcc rId="4191" sId="11" numFmtId="4">
    <nc r="AB41">
      <v>0</v>
    </nc>
  </rcc>
  <rcc rId="4192" sId="11" numFmtId="4">
    <nc r="AB42">
      <v>0</v>
    </nc>
  </rcc>
  <rcc rId="4193" sId="11" numFmtId="4">
    <nc r="AB43">
      <v>0</v>
    </nc>
  </rcc>
  <rcc rId="4194" sId="11" numFmtId="4">
    <nc r="AB44">
      <v>0</v>
    </nc>
  </rcc>
  <rcc rId="4195" sId="11" numFmtId="4">
    <nc r="AB45">
      <v>0</v>
    </nc>
  </rcc>
  <rcc rId="4196" sId="11" numFmtId="4">
    <nc r="AB46">
      <v>0</v>
    </nc>
  </rcc>
  <rcc rId="4197" sId="11" numFmtId="4">
    <nc r="AB47">
      <v>0</v>
    </nc>
  </rcc>
  <rcc rId="4198" sId="11" numFmtId="4">
    <nc r="AB48">
      <v>0</v>
    </nc>
  </rcc>
  <rcc rId="4199" sId="11" numFmtId="4">
    <nc r="AB49">
      <v>0</v>
    </nc>
  </rcc>
  <rcc rId="4200" sId="11" numFmtId="4">
    <nc r="AB50">
      <v>0</v>
    </nc>
  </rcc>
  <rcc rId="4201" sId="11" numFmtId="4">
    <nc r="AB51">
      <v>0</v>
    </nc>
  </rcc>
  <rcc rId="4202" sId="11" numFmtId="4">
    <nc r="AB52">
      <v>0</v>
    </nc>
  </rcc>
  <rcc rId="4203" sId="11" numFmtId="4">
    <nc r="AB53">
      <v>0</v>
    </nc>
  </rcc>
  <rcc rId="4204" sId="11" numFmtId="4">
    <nc r="AB54">
      <v>0</v>
    </nc>
  </rcc>
  <rcc rId="4205" sId="11" numFmtId="4">
    <nc r="AB55">
      <v>0</v>
    </nc>
  </rcc>
  <rcc rId="4206" sId="11" numFmtId="4">
    <nc r="AB56">
      <v>0</v>
    </nc>
  </rcc>
  <rcc rId="4207" sId="11" numFmtId="4">
    <nc r="AB57">
      <v>0</v>
    </nc>
  </rcc>
  <rcc rId="4208" sId="11" numFmtId="4">
    <nc r="AB58">
      <v>0</v>
    </nc>
  </rcc>
  <rcc rId="4209" sId="11" numFmtId="4">
    <nc r="AB59">
      <v>0</v>
    </nc>
  </rcc>
  <rcc rId="4210" sId="11" numFmtId="4">
    <nc r="AB60">
      <v>0</v>
    </nc>
  </rcc>
  <rcc rId="4211" sId="11" numFmtId="4">
    <nc r="AB61">
      <v>0</v>
    </nc>
  </rcc>
  <rcc rId="4212" sId="11" numFmtId="4">
    <nc r="AB62">
      <v>0</v>
    </nc>
  </rcc>
  <rcc rId="4213" sId="11" numFmtId="4">
    <nc r="AB63">
      <v>0</v>
    </nc>
  </rcc>
  <rcc rId="4214" sId="11" numFmtId="4">
    <nc r="AB64">
      <v>0</v>
    </nc>
  </rcc>
  <rcc rId="4215" sId="11" numFmtId="4">
    <nc r="AB65">
      <v>0</v>
    </nc>
  </rcc>
  <rcc rId="4216" sId="11" numFmtId="4">
    <nc r="AB66">
      <v>0</v>
    </nc>
  </rcc>
  <rcc rId="4217" sId="11" numFmtId="4">
    <nc r="AB67">
      <v>0</v>
    </nc>
  </rcc>
  <rcc rId="4218" sId="11" numFmtId="4">
    <nc r="AB68">
      <v>0</v>
    </nc>
  </rcc>
  <rcc rId="4219" sId="11" numFmtId="4">
    <nc r="AB69">
      <v>0</v>
    </nc>
  </rcc>
  <rcc rId="4220" sId="11" numFmtId="4">
    <nc r="AB70">
      <v>0</v>
    </nc>
  </rcc>
  <rcc rId="4221" sId="11" numFmtId="4">
    <nc r="AB71">
      <v>0</v>
    </nc>
  </rcc>
  <rcc rId="4222" sId="11" numFmtId="4">
    <nc r="AB72">
      <v>0</v>
    </nc>
  </rcc>
  <rcc rId="4223" sId="11" numFmtId="4">
    <nc r="AB73">
      <v>0</v>
    </nc>
  </rcc>
  <rcc rId="4224" sId="11" numFmtId="4">
    <nc r="AB74">
      <v>0</v>
    </nc>
  </rcc>
  <rcc rId="4225" sId="11" numFmtId="4">
    <nc r="AB75">
      <v>0</v>
    </nc>
  </rcc>
  <rcc rId="4226" sId="11" numFmtId="4">
    <nc r="AB76">
      <v>0</v>
    </nc>
  </rcc>
  <rcc rId="4227" sId="11" numFmtId="4">
    <nc r="AA3">
      <v>0</v>
    </nc>
  </rcc>
  <rcc rId="4228" sId="11" numFmtId="4">
    <nc r="AA4">
      <v>0</v>
    </nc>
  </rcc>
  <rcc rId="4229" sId="11" numFmtId="4">
    <nc r="AA5">
      <v>0</v>
    </nc>
  </rcc>
  <rcc rId="4230" sId="11" numFmtId="4">
    <nc r="AA9">
      <v>0</v>
    </nc>
  </rcc>
  <rcc rId="4231" sId="11" numFmtId="4">
    <nc r="AA10">
      <v>0</v>
    </nc>
  </rcc>
  <rcc rId="4232" sId="11" numFmtId="4">
    <nc r="AA14">
      <v>0</v>
    </nc>
  </rcc>
  <rcc rId="4233" sId="11" numFmtId="4">
    <nc r="AA15">
      <v>0</v>
    </nc>
  </rcc>
  <rcc rId="4234" sId="11" numFmtId="4">
    <nc r="AA16">
      <v>0</v>
    </nc>
  </rcc>
  <rcc rId="4235" sId="11" numFmtId="4">
    <nc r="AA17">
      <v>0</v>
    </nc>
  </rcc>
  <rcc rId="4236" sId="11" numFmtId="4">
    <nc r="AA18">
      <v>0</v>
    </nc>
  </rcc>
  <rcc rId="4237" sId="11" numFmtId="4">
    <nc r="AA20">
      <v>0</v>
    </nc>
  </rcc>
  <rcc rId="4238" sId="11" numFmtId="4">
    <nc r="AA21">
      <v>0</v>
    </nc>
  </rcc>
  <rcc rId="4239" sId="11" numFmtId="4">
    <nc r="AA22">
      <v>0</v>
    </nc>
  </rcc>
  <rcc rId="4240" sId="11" numFmtId="4">
    <nc r="AA23">
      <v>0</v>
    </nc>
  </rcc>
  <rcc rId="4241" sId="11" numFmtId="4">
    <nc r="AA24">
      <v>0</v>
    </nc>
  </rcc>
  <rcc rId="4242" sId="11" numFmtId="4">
    <nc r="AA25">
      <v>0</v>
    </nc>
  </rcc>
  <rcc rId="4243" sId="11" numFmtId="4">
    <nc r="AA27">
      <v>0</v>
    </nc>
  </rcc>
  <rcc rId="4244" sId="11" numFmtId="4">
    <nc r="AA29">
      <v>0</v>
    </nc>
  </rcc>
  <rcc rId="4245" sId="11" numFmtId="4">
    <nc r="AA30">
      <v>0</v>
    </nc>
  </rcc>
  <rcc rId="4246" sId="11" numFmtId="4">
    <nc r="AA32">
      <v>0</v>
    </nc>
  </rcc>
  <rcc rId="4247" sId="11" numFmtId="4">
    <nc r="AA33">
      <v>0</v>
    </nc>
  </rcc>
  <rcc rId="4248" sId="11" numFmtId="4">
    <nc r="AA34">
      <v>0</v>
    </nc>
  </rcc>
  <rcc rId="4249" sId="11" numFmtId="4">
    <nc r="AA37">
      <v>0</v>
    </nc>
  </rcc>
  <rcc rId="4250" sId="11" numFmtId="4">
    <nc r="AA38">
      <v>0</v>
    </nc>
  </rcc>
  <rcc rId="4251" sId="11" numFmtId="4">
    <nc r="AA39">
      <v>0</v>
    </nc>
  </rcc>
  <rcc rId="4252" sId="11" numFmtId="4">
    <nc r="AA40">
      <v>0</v>
    </nc>
  </rcc>
  <rcc rId="4253" sId="11" numFmtId="4">
    <nc r="AA41">
      <v>0</v>
    </nc>
  </rcc>
  <rcc rId="4254" sId="11" numFmtId="4">
    <nc r="AA45">
      <v>0</v>
    </nc>
  </rcc>
  <rcc rId="4255" sId="11" numFmtId="4">
    <nc r="AA47">
      <v>0</v>
    </nc>
  </rcc>
  <rcc rId="4256" sId="11" numFmtId="4">
    <nc r="AA49">
      <v>0</v>
    </nc>
  </rcc>
  <rcc rId="4257" sId="11" numFmtId="4">
    <nc r="AA50">
      <v>0</v>
    </nc>
  </rcc>
  <rcc rId="4258" sId="11" numFmtId="4">
    <nc r="AA52">
      <v>0</v>
    </nc>
  </rcc>
  <rcc rId="4259" sId="11" numFmtId="4">
    <nc r="AA53">
      <v>0</v>
    </nc>
  </rcc>
  <rcc rId="4260" sId="11" numFmtId="4">
    <nc r="AA54">
      <v>0</v>
    </nc>
  </rcc>
  <rcc rId="4261" sId="11" numFmtId="4">
    <nc r="AA55">
      <v>0</v>
    </nc>
  </rcc>
  <rcc rId="4262" sId="11" numFmtId="4">
    <nc r="AA56">
      <v>0</v>
    </nc>
  </rcc>
  <rcc rId="4263" sId="11" numFmtId="4">
    <nc r="AA57">
      <v>0</v>
    </nc>
  </rcc>
  <rcc rId="4264" sId="11" numFmtId="4">
    <nc r="AA60">
      <v>0</v>
    </nc>
  </rcc>
  <rcc rId="4265" sId="11" numFmtId="4">
    <nc r="AA61">
      <v>0</v>
    </nc>
  </rcc>
  <rcc rId="4266" sId="11" numFmtId="4">
    <nc r="AA62">
      <v>0</v>
    </nc>
  </rcc>
  <rcc rId="4267" sId="11" numFmtId="4">
    <nc r="AA63">
      <v>0</v>
    </nc>
  </rcc>
  <rcc rId="4268" sId="11" numFmtId="4">
    <nc r="AA64">
      <v>0</v>
    </nc>
  </rcc>
  <rcc rId="4269" sId="11" numFmtId="4">
    <nc r="AA65">
      <v>0</v>
    </nc>
  </rcc>
  <rcc rId="4270" sId="11" numFmtId="4">
    <nc r="AA66">
      <v>0</v>
    </nc>
  </rcc>
  <rcc rId="4271" sId="11" numFmtId="4">
    <nc r="AA67">
      <v>0</v>
    </nc>
  </rcc>
  <rcc rId="4272" sId="11" numFmtId="4">
    <nc r="AA68">
      <v>0</v>
    </nc>
  </rcc>
  <rcc rId="4273" sId="11" numFmtId="4">
    <nc r="AA69">
      <v>0</v>
    </nc>
  </rcc>
  <rcc rId="4274" sId="11" numFmtId="4">
    <nc r="AA70">
      <v>0</v>
    </nc>
  </rcc>
  <rcc rId="4275" sId="11" numFmtId="4">
    <nc r="AA71">
      <v>0</v>
    </nc>
  </rcc>
  <rcc rId="4276" sId="11" numFmtId="4">
    <nc r="AA73">
      <v>0</v>
    </nc>
  </rcc>
  <rcc rId="4277" sId="11" numFmtId="4">
    <nc r="AA74">
      <v>0</v>
    </nc>
  </rcc>
  <rcc rId="4278" sId="11" numFmtId="4">
    <nc r="AA75">
      <v>0</v>
    </nc>
  </rcc>
  <rcc rId="4279" sId="11" numFmtId="4">
    <nc r="AA76">
      <v>0</v>
    </nc>
  </rcc>
  <rcc rId="4280" sId="11" numFmtId="4">
    <nc r="Z8">
      <v>0</v>
    </nc>
  </rcc>
  <rcc rId="4281" sId="11" numFmtId="4">
    <nc r="Z12">
      <v>0</v>
    </nc>
  </rcc>
  <rcc rId="4282" sId="11" numFmtId="4">
    <nc r="Z20">
      <v>0</v>
    </nc>
  </rcc>
  <rcc rId="4283" sId="11" numFmtId="4">
    <nc r="Z28">
      <v>0</v>
    </nc>
  </rcc>
  <rcc rId="4284" sId="11" numFmtId="4">
    <nc r="Z35">
      <v>0</v>
    </nc>
  </rcc>
  <rcc rId="4285" sId="11" numFmtId="4">
    <nc r="Z43">
      <v>0</v>
    </nc>
  </rcc>
  <rcc rId="4286" sId="11" numFmtId="4">
    <nc r="Z51">
      <v>0</v>
    </nc>
  </rcc>
  <rcc rId="4287" sId="11" numFmtId="4">
    <nc r="Z70">
      <v>0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8.bin"/><Relationship Id="rId3" Type="http://schemas.openxmlformats.org/officeDocument/2006/relationships/printerSettings" Target="../printerSettings/printerSettings43.bin"/><Relationship Id="rId7" Type="http://schemas.openxmlformats.org/officeDocument/2006/relationships/printerSettings" Target="../printerSettings/printerSettings47.bin"/><Relationship Id="rId2" Type="http://schemas.openxmlformats.org/officeDocument/2006/relationships/printerSettings" Target="../printerSettings/printerSettings42.bin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46.bin"/><Relationship Id="rId5" Type="http://schemas.openxmlformats.org/officeDocument/2006/relationships/printerSettings" Target="../printerSettings/printerSettings45.bin"/><Relationship Id="rId10" Type="http://schemas.openxmlformats.org/officeDocument/2006/relationships/queryTable" Target="../queryTables/queryTable1.xml"/><Relationship Id="rId4" Type="http://schemas.openxmlformats.org/officeDocument/2006/relationships/printerSettings" Target="../printerSettings/printerSettings44.bin"/><Relationship Id="rId9" Type="http://schemas.openxmlformats.org/officeDocument/2006/relationships/printerSettings" Target="../printerSettings/printerSettings49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6.bin"/><Relationship Id="rId3" Type="http://schemas.openxmlformats.org/officeDocument/2006/relationships/printerSettings" Target="../printerSettings/printerSettings51.bin"/><Relationship Id="rId7" Type="http://schemas.openxmlformats.org/officeDocument/2006/relationships/printerSettings" Target="../printerSettings/printerSettings55.bin"/><Relationship Id="rId2" Type="http://schemas.openxmlformats.org/officeDocument/2006/relationships/printerSettings" Target="../printerSettings/printerSettings50.bin"/><Relationship Id="rId1" Type="http://schemas.openxmlformats.org/officeDocument/2006/relationships/pivotTable" Target="../pivotTables/pivotTable2.xml"/><Relationship Id="rId6" Type="http://schemas.openxmlformats.org/officeDocument/2006/relationships/printerSettings" Target="../printerSettings/printerSettings54.bin"/><Relationship Id="rId5" Type="http://schemas.openxmlformats.org/officeDocument/2006/relationships/printerSettings" Target="../printerSettings/printerSettings53.bin"/><Relationship Id="rId10" Type="http://schemas.openxmlformats.org/officeDocument/2006/relationships/queryTable" Target="../queryTables/queryTable2.xml"/><Relationship Id="rId4" Type="http://schemas.openxmlformats.org/officeDocument/2006/relationships/printerSettings" Target="../printerSettings/printerSettings52.bin"/><Relationship Id="rId9" Type="http://schemas.openxmlformats.org/officeDocument/2006/relationships/printerSettings" Target="../printerSettings/printerSettings5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6.bin"/><Relationship Id="rId3" Type="http://schemas.openxmlformats.org/officeDocument/2006/relationships/printerSettings" Target="../printerSettings/printerSettings11.bin"/><Relationship Id="rId7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6" Type="http://schemas.openxmlformats.org/officeDocument/2006/relationships/printerSettings" Target="../printerSettings/printerSettings14.bin"/><Relationship Id="rId5" Type="http://schemas.openxmlformats.org/officeDocument/2006/relationships/printerSettings" Target="../printerSettings/printerSettings13.bin"/><Relationship Id="rId4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4.bin"/><Relationship Id="rId3" Type="http://schemas.openxmlformats.org/officeDocument/2006/relationships/printerSettings" Target="../printerSettings/printerSettings19.bin"/><Relationship Id="rId7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6" Type="http://schemas.openxmlformats.org/officeDocument/2006/relationships/printerSettings" Target="../printerSettings/printerSettings22.bin"/><Relationship Id="rId5" Type="http://schemas.openxmlformats.org/officeDocument/2006/relationships/printerSettings" Target="../printerSettings/printerSettings21.bin"/><Relationship Id="rId4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2.bin"/><Relationship Id="rId3" Type="http://schemas.openxmlformats.org/officeDocument/2006/relationships/printerSettings" Target="../printerSettings/printerSettings27.bin"/><Relationship Id="rId7" Type="http://schemas.openxmlformats.org/officeDocument/2006/relationships/printerSettings" Target="../printerSettings/printerSettings31.bin"/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Relationship Id="rId6" Type="http://schemas.openxmlformats.org/officeDocument/2006/relationships/printerSettings" Target="../printerSettings/printerSettings30.bin"/><Relationship Id="rId5" Type="http://schemas.openxmlformats.org/officeDocument/2006/relationships/printerSettings" Target="../printerSettings/printerSettings29.bin"/><Relationship Id="rId4" Type="http://schemas.openxmlformats.org/officeDocument/2006/relationships/printerSettings" Target="../printerSettings/printerSettings2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0.bin"/><Relationship Id="rId3" Type="http://schemas.openxmlformats.org/officeDocument/2006/relationships/printerSettings" Target="../printerSettings/printerSettings35.bin"/><Relationship Id="rId7" Type="http://schemas.openxmlformats.org/officeDocument/2006/relationships/printerSettings" Target="../printerSettings/printerSettings39.bin"/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Relationship Id="rId6" Type="http://schemas.openxmlformats.org/officeDocument/2006/relationships/printerSettings" Target="../printerSettings/printerSettings38.bin"/><Relationship Id="rId5" Type="http://schemas.openxmlformats.org/officeDocument/2006/relationships/printerSettings" Target="../printerSettings/printerSettings37.bin"/><Relationship Id="rId10" Type="http://schemas.openxmlformats.org/officeDocument/2006/relationships/comments" Target="../comments1.xml"/><Relationship Id="rId4" Type="http://schemas.openxmlformats.org/officeDocument/2006/relationships/printerSettings" Target="../printerSettings/printerSettings36.bin"/><Relationship Id="rId9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V59"/>
  <sheetViews>
    <sheetView topLeftCell="AA1" zoomScaleNormal="100" workbookViewId="0">
      <selection activeCell="AN1" sqref="AN1"/>
    </sheetView>
  </sheetViews>
  <sheetFormatPr defaultRowHeight="13.2" x14ac:dyDescent="0.25"/>
  <cols>
    <col min="1" max="1" width="23.109375" customWidth="1"/>
    <col min="2" max="3" width="10.6640625" customWidth="1"/>
    <col min="4" max="4" width="11.5546875" customWidth="1"/>
    <col min="5" max="5" width="12.109375" customWidth="1"/>
    <col min="6" max="6" width="11.88671875" customWidth="1"/>
    <col min="7" max="7" width="11.5546875" customWidth="1"/>
    <col min="8" max="8" width="9.88671875" customWidth="1"/>
    <col min="9" max="9" width="11" customWidth="1"/>
    <col min="10" max="10" width="10.6640625" customWidth="1"/>
    <col min="11" max="11" width="10.44140625" customWidth="1"/>
    <col min="12" max="12" width="22.6640625" customWidth="1"/>
    <col min="13" max="19" width="10.109375" customWidth="1"/>
    <col min="20" max="20" width="10.5546875" customWidth="1"/>
    <col min="21" max="22" width="10.109375" customWidth="1"/>
    <col min="23" max="23" width="21.88671875" customWidth="1"/>
    <col min="24" max="24" width="11.88671875" customWidth="1"/>
    <col min="25" max="25" width="11" customWidth="1"/>
    <col min="26" max="26" width="11.5546875" customWidth="1"/>
    <col min="27" max="28" width="10.88671875" customWidth="1"/>
    <col min="29" max="29" width="11.88671875" customWidth="1"/>
    <col min="30" max="30" width="10.88671875" customWidth="1"/>
    <col min="31" max="31" width="10.109375" customWidth="1"/>
    <col min="32" max="32" width="11.44140625" customWidth="1"/>
    <col min="33" max="33" width="21.6640625" customWidth="1"/>
    <col min="34" max="34" width="12.33203125" customWidth="1"/>
    <col min="35" max="35" width="11.5546875" customWidth="1"/>
    <col min="36" max="36" width="11.33203125" customWidth="1"/>
    <col min="37" max="37" width="11.44140625" customWidth="1"/>
    <col min="38" max="38" width="12" customWidth="1"/>
    <col min="39" max="39" width="12.44140625" customWidth="1"/>
    <col min="40" max="40" width="14" customWidth="1"/>
    <col min="41" max="41" width="15.5546875" customWidth="1"/>
    <col min="42" max="42" width="22.6640625" bestFit="1" customWidth="1"/>
    <col min="43" max="43" width="11.33203125" bestFit="1" customWidth="1"/>
    <col min="45" max="45" width="10.33203125" bestFit="1" customWidth="1"/>
    <col min="46" max="46" width="11.44140625" bestFit="1" customWidth="1"/>
    <col min="47" max="47" width="11.44140625" customWidth="1"/>
    <col min="48" max="48" width="14.33203125" customWidth="1"/>
  </cols>
  <sheetData>
    <row r="1" spans="1:48" x14ac:dyDescent="0.25">
      <c r="A1" s="1" t="s">
        <v>0</v>
      </c>
      <c r="B1" s="11" t="s">
        <v>28</v>
      </c>
      <c r="C1" s="11" t="s">
        <v>29</v>
      </c>
      <c r="D1" s="11" t="s">
        <v>30</v>
      </c>
      <c r="E1" s="11" t="s">
        <v>32</v>
      </c>
      <c r="F1" s="11" t="s">
        <v>31</v>
      </c>
      <c r="G1" s="11" t="s">
        <v>33</v>
      </c>
      <c r="H1" s="11" t="s">
        <v>34</v>
      </c>
      <c r="I1" s="13" t="s">
        <v>35</v>
      </c>
      <c r="J1" s="13" t="s">
        <v>45</v>
      </c>
      <c r="K1" s="11" t="s">
        <v>36</v>
      </c>
      <c r="L1" s="1" t="s">
        <v>0</v>
      </c>
      <c r="M1" s="11" t="s">
        <v>37</v>
      </c>
      <c r="N1" s="13" t="s">
        <v>42</v>
      </c>
      <c r="O1" s="11" t="s">
        <v>38</v>
      </c>
      <c r="P1" s="11" t="s">
        <v>39</v>
      </c>
      <c r="Q1" s="13" t="s">
        <v>46</v>
      </c>
      <c r="R1" s="13" t="s">
        <v>41</v>
      </c>
      <c r="S1" s="13" t="s">
        <v>106</v>
      </c>
      <c r="T1" s="11" t="s">
        <v>40</v>
      </c>
      <c r="U1" s="13" t="s">
        <v>44</v>
      </c>
      <c r="V1" s="13" t="s">
        <v>43</v>
      </c>
      <c r="W1" s="1" t="s">
        <v>0</v>
      </c>
      <c r="X1" s="13" t="s">
        <v>47</v>
      </c>
      <c r="Y1" s="13" t="s">
        <v>48</v>
      </c>
      <c r="Z1" s="13" t="s">
        <v>49</v>
      </c>
      <c r="AA1" s="13" t="s">
        <v>50</v>
      </c>
      <c r="AB1" s="13" t="s">
        <v>51</v>
      </c>
      <c r="AC1" s="13" t="s">
        <v>52</v>
      </c>
      <c r="AD1" s="13" t="s">
        <v>53</v>
      </c>
      <c r="AE1" s="13" t="s">
        <v>54</v>
      </c>
      <c r="AF1" s="13" t="s">
        <v>55</v>
      </c>
      <c r="AG1" s="1" t="s">
        <v>0</v>
      </c>
      <c r="AH1" s="13" t="s">
        <v>56</v>
      </c>
      <c r="AI1" s="13" t="s">
        <v>57</v>
      </c>
      <c r="AJ1" s="13" t="s">
        <v>58</v>
      </c>
      <c r="AK1" s="13" t="s">
        <v>59</v>
      </c>
      <c r="AL1" s="13" t="s">
        <v>60</v>
      </c>
      <c r="AM1" s="13" t="s">
        <v>61</v>
      </c>
      <c r="AN1" s="13" t="s">
        <v>62</v>
      </c>
      <c r="AO1" s="13" t="s">
        <v>63</v>
      </c>
      <c r="AP1" s="1" t="s">
        <v>0</v>
      </c>
      <c r="AQ1" s="13" t="s">
        <v>64</v>
      </c>
      <c r="AR1" s="13" t="s">
        <v>65</v>
      </c>
      <c r="AS1" s="13" t="s">
        <v>66</v>
      </c>
      <c r="AT1" s="11" t="s">
        <v>108</v>
      </c>
      <c r="AU1" s="11" t="s">
        <v>107</v>
      </c>
      <c r="AV1" s="3" t="s">
        <v>1</v>
      </c>
    </row>
    <row r="2" spans="1:48" x14ac:dyDescent="0.25">
      <c r="A2" t="s">
        <v>2</v>
      </c>
      <c r="B2" s="2">
        <v>90878</v>
      </c>
      <c r="C2" s="2">
        <v>30148</v>
      </c>
      <c r="D2" s="2">
        <v>13884</v>
      </c>
      <c r="E2" s="2">
        <v>2398</v>
      </c>
      <c r="F2" s="2">
        <v>86829</v>
      </c>
      <c r="G2" s="2"/>
      <c r="H2" s="2">
        <v>5722</v>
      </c>
      <c r="I2" s="2">
        <v>22279</v>
      </c>
      <c r="J2" s="2"/>
      <c r="K2" s="2">
        <v>293353</v>
      </c>
      <c r="L2" t="s">
        <v>2</v>
      </c>
      <c r="M2" s="2">
        <v>231128</v>
      </c>
      <c r="N2" s="2">
        <v>37215</v>
      </c>
      <c r="O2" s="2">
        <v>77562</v>
      </c>
      <c r="P2" s="2">
        <v>104489</v>
      </c>
      <c r="Q2" s="2">
        <v>106933</v>
      </c>
      <c r="R2" s="2"/>
      <c r="S2" s="2">
        <v>47207</v>
      </c>
      <c r="T2" s="2">
        <v>7056</v>
      </c>
      <c r="U2" s="2">
        <v>8712</v>
      </c>
      <c r="V2" s="2">
        <v>5176</v>
      </c>
      <c r="W2" t="s">
        <v>2</v>
      </c>
      <c r="X2" s="2">
        <v>84857</v>
      </c>
      <c r="Y2" s="2">
        <v>1950</v>
      </c>
      <c r="Z2" s="2">
        <v>222680</v>
      </c>
      <c r="AA2" s="2">
        <v>1559</v>
      </c>
      <c r="AB2" s="2">
        <v>1050</v>
      </c>
      <c r="AC2" s="2">
        <v>18935</v>
      </c>
      <c r="AD2" s="2">
        <v>198860</v>
      </c>
      <c r="AE2" s="2"/>
      <c r="AF2" s="2"/>
      <c r="AG2" t="s">
        <v>2</v>
      </c>
      <c r="AH2" s="2">
        <v>75211</v>
      </c>
      <c r="AI2" s="2">
        <v>42359</v>
      </c>
      <c r="AJ2" s="2">
        <v>7445</v>
      </c>
      <c r="AK2" s="2">
        <v>204</v>
      </c>
      <c r="AL2" s="2">
        <v>20626</v>
      </c>
      <c r="AM2" s="2">
        <v>1406</v>
      </c>
      <c r="AN2" s="2">
        <v>1267</v>
      </c>
      <c r="AO2" s="2"/>
      <c r="AP2" t="s">
        <v>2</v>
      </c>
      <c r="AQ2" s="2">
        <v>37219</v>
      </c>
      <c r="AR2" s="2">
        <v>36203</v>
      </c>
      <c r="AS2" s="2">
        <v>145779</v>
      </c>
      <c r="AT2" s="2">
        <v>11832</v>
      </c>
      <c r="AU2" s="2"/>
      <c r="AV2" s="2">
        <f>SUM(B2:AU2)</f>
        <v>2080411</v>
      </c>
    </row>
    <row r="3" spans="1:48" x14ac:dyDescent="0.25">
      <c r="A3" t="s">
        <v>3</v>
      </c>
      <c r="B3" s="2">
        <v>106</v>
      </c>
      <c r="C3" s="2">
        <v>6696</v>
      </c>
      <c r="D3" s="2">
        <v>43794</v>
      </c>
      <c r="E3" s="2">
        <v>32723</v>
      </c>
      <c r="F3" s="2">
        <v>1505</v>
      </c>
      <c r="G3" s="2"/>
      <c r="H3" s="2"/>
      <c r="I3" s="2">
        <v>84358</v>
      </c>
      <c r="J3" s="2">
        <v>22728</v>
      </c>
      <c r="K3" s="2">
        <v>59773</v>
      </c>
      <c r="L3" t="s">
        <v>3</v>
      </c>
      <c r="M3" s="2">
        <v>318045</v>
      </c>
      <c r="N3" s="2"/>
      <c r="O3" s="2"/>
      <c r="P3" s="2">
        <v>30736</v>
      </c>
      <c r="Q3" s="2"/>
      <c r="R3" s="2"/>
      <c r="S3" s="2">
        <v>132155</v>
      </c>
      <c r="T3" s="2">
        <v>153427</v>
      </c>
      <c r="U3" s="2">
        <v>8589</v>
      </c>
      <c r="V3" s="2">
        <v>113527</v>
      </c>
      <c r="W3" t="s">
        <v>3</v>
      </c>
      <c r="X3" s="2"/>
      <c r="Y3" s="2">
        <v>165222</v>
      </c>
      <c r="Z3" s="2">
        <v>28734</v>
      </c>
      <c r="AA3" s="2">
        <v>34876</v>
      </c>
      <c r="AB3" s="2"/>
      <c r="AC3" s="2">
        <v>45264</v>
      </c>
      <c r="AD3" s="2">
        <v>241515</v>
      </c>
      <c r="AE3" s="2"/>
      <c r="AF3" s="2">
        <v>10273</v>
      </c>
      <c r="AG3" t="s">
        <v>3</v>
      </c>
      <c r="AH3" s="2">
        <v>167051</v>
      </c>
      <c r="AI3" s="2">
        <v>22157</v>
      </c>
      <c r="AJ3" s="2">
        <v>5700</v>
      </c>
      <c r="AK3" s="2">
        <v>4589</v>
      </c>
      <c r="AL3" s="2"/>
      <c r="AM3" s="2">
        <v>111685</v>
      </c>
      <c r="AN3" s="2">
        <v>108095</v>
      </c>
      <c r="AO3" s="2">
        <v>55603</v>
      </c>
      <c r="AP3" t="s">
        <v>3</v>
      </c>
      <c r="AQ3" s="2">
        <v>200869</v>
      </c>
      <c r="AR3" s="2">
        <v>22449</v>
      </c>
      <c r="AS3" s="2"/>
      <c r="AT3" s="2">
        <v>79473</v>
      </c>
      <c r="AU3" s="2"/>
      <c r="AV3" s="2" t="e">
        <f>#N/A</f>
        <v>#N/A</v>
      </c>
    </row>
    <row r="4" spans="1:48" x14ac:dyDescent="0.25">
      <c r="A4" t="s">
        <v>4</v>
      </c>
      <c r="B4" s="2">
        <v>21309</v>
      </c>
      <c r="C4" s="2">
        <v>14102</v>
      </c>
      <c r="D4" s="2">
        <v>51671</v>
      </c>
      <c r="E4" s="2">
        <v>213969</v>
      </c>
      <c r="F4" s="2"/>
      <c r="G4" s="2"/>
      <c r="H4" s="2"/>
      <c r="I4" s="2">
        <v>25954</v>
      </c>
      <c r="J4" s="2"/>
      <c r="K4" s="2">
        <v>154069</v>
      </c>
      <c r="L4" t="s">
        <v>4</v>
      </c>
      <c r="M4" s="2">
        <v>11912</v>
      </c>
      <c r="N4" s="2"/>
      <c r="O4" s="2"/>
      <c r="P4" s="2">
        <v>67982</v>
      </c>
      <c r="Q4" s="2"/>
      <c r="R4" s="2">
        <v>66383</v>
      </c>
      <c r="S4" s="2">
        <v>58003</v>
      </c>
      <c r="T4" s="2">
        <v>98089</v>
      </c>
      <c r="U4" s="2">
        <v>8404</v>
      </c>
      <c r="V4" s="2">
        <v>22832</v>
      </c>
      <c r="W4" t="s">
        <v>4</v>
      </c>
      <c r="X4" s="2"/>
      <c r="Y4" s="2">
        <v>11111</v>
      </c>
      <c r="Z4" s="2"/>
      <c r="AA4" s="2">
        <v>258</v>
      </c>
      <c r="AB4" s="2">
        <v>36875</v>
      </c>
      <c r="AC4" s="2">
        <v>22578</v>
      </c>
      <c r="AD4" s="2">
        <v>20226</v>
      </c>
      <c r="AE4" s="2"/>
      <c r="AF4" s="2">
        <v>22854</v>
      </c>
      <c r="AG4" t="s">
        <v>4</v>
      </c>
      <c r="AH4" s="2">
        <v>4234</v>
      </c>
      <c r="AI4" s="2"/>
      <c r="AJ4" s="2">
        <v>21537</v>
      </c>
      <c r="AK4" s="2">
        <v>3558</v>
      </c>
      <c r="AL4" s="2"/>
      <c r="AM4" s="2">
        <v>245034</v>
      </c>
      <c r="AN4" s="2">
        <v>188694</v>
      </c>
      <c r="AO4" s="2">
        <v>349762</v>
      </c>
      <c r="AP4" t="s">
        <v>4</v>
      </c>
      <c r="AQ4" s="2">
        <v>97767</v>
      </c>
      <c r="AR4" s="2">
        <v>21119</v>
      </c>
      <c r="AS4" s="2"/>
      <c r="AT4" s="2">
        <v>68587</v>
      </c>
      <c r="AU4" s="2"/>
      <c r="AV4" s="2" t="e">
        <f>#N/A</f>
        <v>#N/A</v>
      </c>
    </row>
    <row r="5" spans="1:48" x14ac:dyDescent="0.25">
      <c r="A5" t="s">
        <v>5</v>
      </c>
      <c r="B5" s="2"/>
      <c r="C5" s="2"/>
      <c r="D5" s="2"/>
      <c r="E5" s="2"/>
      <c r="F5" s="2"/>
      <c r="G5" s="2"/>
      <c r="H5" s="2"/>
      <c r="I5" s="2"/>
      <c r="J5" s="2"/>
      <c r="K5" s="2"/>
      <c r="L5" t="s">
        <v>5</v>
      </c>
      <c r="M5" s="2">
        <v>196</v>
      </c>
      <c r="N5" s="2"/>
      <c r="O5" s="2"/>
      <c r="P5" s="2">
        <v>204</v>
      </c>
      <c r="Q5" s="2"/>
      <c r="R5" s="2"/>
      <c r="S5" s="2"/>
      <c r="T5" s="2">
        <v>522</v>
      </c>
      <c r="U5" s="2"/>
      <c r="V5" s="2"/>
      <c r="W5" t="s">
        <v>5</v>
      </c>
      <c r="X5" s="2">
        <v>415441</v>
      </c>
      <c r="Y5" s="2"/>
      <c r="Z5" s="2"/>
      <c r="AA5" s="2">
        <v>44</v>
      </c>
      <c r="AB5" s="2"/>
      <c r="AC5" s="2"/>
      <c r="AD5" s="2"/>
      <c r="AE5" s="2"/>
      <c r="AF5" s="2"/>
      <c r="AG5" t="s">
        <v>5</v>
      </c>
      <c r="AH5" s="2">
        <v>436</v>
      </c>
      <c r="AI5" s="2"/>
      <c r="AJ5" s="2"/>
      <c r="AK5" s="2">
        <v>533</v>
      </c>
      <c r="AL5" s="2"/>
      <c r="AM5" s="2"/>
      <c r="AN5" s="2"/>
      <c r="AO5" s="2"/>
      <c r="AP5" t="s">
        <v>5</v>
      </c>
      <c r="AQ5" s="2"/>
      <c r="AR5" s="2"/>
      <c r="AS5" s="2"/>
      <c r="AT5" s="2"/>
      <c r="AU5" s="2"/>
      <c r="AV5" s="2" t="e">
        <f>#N/A</f>
        <v>#N/A</v>
      </c>
    </row>
    <row r="6" spans="1:48" x14ac:dyDescent="0.25">
      <c r="A6" t="s">
        <v>77</v>
      </c>
      <c r="B6" s="2"/>
      <c r="C6" s="2"/>
      <c r="D6" s="2"/>
      <c r="E6" s="2">
        <v>2128</v>
      </c>
      <c r="F6" s="2"/>
      <c r="G6" s="2"/>
      <c r="H6" s="2"/>
      <c r="I6" s="2">
        <v>1084</v>
      </c>
      <c r="J6" s="2"/>
      <c r="K6" s="2"/>
      <c r="L6" t="s">
        <v>77</v>
      </c>
      <c r="M6" s="2">
        <v>926</v>
      </c>
      <c r="N6" s="2"/>
      <c r="O6" s="2"/>
      <c r="P6" s="2">
        <v>956</v>
      </c>
      <c r="Q6" s="2"/>
      <c r="R6" s="2"/>
      <c r="S6" s="2">
        <v>1790</v>
      </c>
      <c r="T6" s="2"/>
      <c r="U6" s="2"/>
      <c r="V6" s="2"/>
      <c r="W6" t="s">
        <v>77</v>
      </c>
      <c r="X6" s="2"/>
      <c r="Y6" s="2"/>
      <c r="Z6" s="2"/>
      <c r="AA6" s="2"/>
      <c r="AB6" s="2"/>
      <c r="AC6" s="2">
        <v>657</v>
      </c>
      <c r="AD6" s="2"/>
      <c r="AE6" s="2"/>
      <c r="AF6" s="2"/>
      <c r="AG6" t="s">
        <v>77</v>
      </c>
      <c r="AH6" s="2"/>
      <c r="AI6" s="2"/>
      <c r="AJ6" s="2"/>
      <c r="AK6" s="2"/>
      <c r="AL6" s="2"/>
      <c r="AM6" s="2"/>
      <c r="AN6" s="2"/>
      <c r="AO6" s="2"/>
      <c r="AP6" t="s">
        <v>77</v>
      </c>
      <c r="AQ6" s="2">
        <v>8381</v>
      </c>
      <c r="AR6" s="2"/>
      <c r="AS6" s="2"/>
      <c r="AT6" s="2"/>
      <c r="AU6" s="2"/>
      <c r="AV6" s="2" t="e">
        <f>#N/A</f>
        <v>#N/A</v>
      </c>
    </row>
    <row r="7" spans="1:48" x14ac:dyDescent="0.25">
      <c r="A7" s="1" t="s">
        <v>6</v>
      </c>
      <c r="B7" s="2" t="e">
        <f>#N/A</f>
        <v>#N/A</v>
      </c>
      <c r="C7" s="2" t="e">
        <f>#N/A</f>
        <v>#N/A</v>
      </c>
      <c r="D7" s="2" t="e">
        <f>#N/A</f>
        <v>#N/A</v>
      </c>
      <c r="E7" s="2">
        <f>E2+E3+E4+E5+E6</f>
        <v>251218</v>
      </c>
      <c r="F7" s="2" t="e">
        <f>#N/A</f>
        <v>#N/A</v>
      </c>
      <c r="G7" s="2" t="e">
        <f>#N/A</f>
        <v>#N/A</v>
      </c>
      <c r="H7" s="2" t="e">
        <f>#N/A</f>
        <v>#N/A</v>
      </c>
      <c r="I7" s="2" t="e">
        <f>#N/A</f>
        <v>#N/A</v>
      </c>
      <c r="J7" s="2">
        <f>J2+J3+J4+J5+J6</f>
        <v>22728</v>
      </c>
      <c r="K7" s="2">
        <f>K2+K3+K4+K5+K6</f>
        <v>507195</v>
      </c>
      <c r="L7" s="14" t="s">
        <v>6</v>
      </c>
      <c r="M7" s="2">
        <f>M2+M3+M4+M5+M6</f>
        <v>562207</v>
      </c>
      <c r="N7" s="2">
        <f>N2+N3+N4+N5+N6</f>
        <v>37215</v>
      </c>
      <c r="O7" s="2" t="e">
        <f>#N/A</f>
        <v>#N/A</v>
      </c>
      <c r="P7" s="2" t="e">
        <f>#N/A</f>
        <v>#N/A</v>
      </c>
      <c r="Q7" s="2">
        <f>Q2+Q3+Q4+Q5+Q6</f>
        <v>106933</v>
      </c>
      <c r="R7" s="2" t="e">
        <f>#N/A</f>
        <v>#N/A</v>
      </c>
      <c r="S7" s="2" t="e">
        <f>#N/A</f>
        <v>#N/A</v>
      </c>
      <c r="T7" s="2">
        <f>T2+T3+T4+T5+T6</f>
        <v>259094</v>
      </c>
      <c r="U7" s="2" t="e">
        <f>#N/A</f>
        <v>#N/A</v>
      </c>
      <c r="V7" s="2">
        <f>V2+V3+V4+V5+V6</f>
        <v>141535</v>
      </c>
      <c r="W7" s="14" t="s">
        <v>6</v>
      </c>
      <c r="X7" s="2" t="e">
        <f>#N/A</f>
        <v>#N/A</v>
      </c>
      <c r="Y7" s="2" t="e">
        <f>#N/A</f>
        <v>#N/A</v>
      </c>
      <c r="Z7" s="2" t="e">
        <f>#N/A</f>
        <v>#N/A</v>
      </c>
      <c r="AA7" s="2" t="e">
        <f>#N/A</f>
        <v>#N/A</v>
      </c>
      <c r="AB7" s="2" t="e">
        <f>#N/A</f>
        <v>#N/A</v>
      </c>
      <c r="AC7" s="2" t="e">
        <f>#N/A</f>
        <v>#N/A</v>
      </c>
      <c r="AD7" s="2" t="e">
        <f>#N/A</f>
        <v>#N/A</v>
      </c>
      <c r="AE7" s="2" t="e">
        <f>#N/A</f>
        <v>#N/A</v>
      </c>
      <c r="AF7" s="2" t="e">
        <f>#N/A</f>
        <v>#N/A</v>
      </c>
      <c r="AG7" s="14" t="s">
        <v>6</v>
      </c>
      <c r="AH7" s="2" t="e">
        <f>#N/A</f>
        <v>#N/A</v>
      </c>
      <c r="AI7" s="2" t="e">
        <f>#N/A</f>
        <v>#N/A</v>
      </c>
      <c r="AJ7" s="2" t="e">
        <f>#N/A</f>
        <v>#N/A</v>
      </c>
      <c r="AK7" s="2" t="e">
        <f>#N/A</f>
        <v>#N/A</v>
      </c>
      <c r="AL7" s="2" t="e">
        <f>#N/A</f>
        <v>#N/A</v>
      </c>
      <c r="AM7" s="2" t="e">
        <f>#N/A</f>
        <v>#N/A</v>
      </c>
      <c r="AN7" s="2" t="e">
        <f>#N/A</f>
        <v>#N/A</v>
      </c>
      <c r="AO7" s="2" t="e">
        <f>#N/A</f>
        <v>#N/A</v>
      </c>
      <c r="AP7" s="14" t="s">
        <v>6</v>
      </c>
      <c r="AQ7" s="2">
        <f>AQ2+AQ3+AQ4+AQ5+AQ6</f>
        <v>344236</v>
      </c>
      <c r="AR7" s="2">
        <f>AR2+AR3+AR4+AR5+AR6</f>
        <v>79771</v>
      </c>
      <c r="AS7" s="2">
        <f>AS2+AS3+AS4+AS5+AS6</f>
        <v>145779</v>
      </c>
      <c r="AT7" s="2">
        <f>AT2+AT3+AT4+AT5+AT6</f>
        <v>159892</v>
      </c>
      <c r="AU7" s="2">
        <f>AU2+AU3+AU4+AU5+AU6</f>
        <v>0</v>
      </c>
      <c r="AV7" s="2" t="e">
        <f>#N/A</f>
        <v>#N/A</v>
      </c>
    </row>
    <row r="8" spans="1:48" x14ac:dyDescent="0.25">
      <c r="A8" t="s">
        <v>72</v>
      </c>
      <c r="B8" s="2"/>
      <c r="C8" s="2">
        <v>16000</v>
      </c>
      <c r="D8" s="2">
        <v>113000</v>
      </c>
      <c r="E8" s="2">
        <v>3000</v>
      </c>
      <c r="F8" s="2">
        <v>106000</v>
      </c>
      <c r="G8" s="2"/>
      <c r="H8" s="2"/>
      <c r="I8" s="2">
        <v>78000</v>
      </c>
      <c r="J8" s="2"/>
      <c r="K8" s="2">
        <v>56000</v>
      </c>
      <c r="L8" t="s">
        <v>72</v>
      </c>
      <c r="M8" s="2"/>
      <c r="N8" s="2"/>
      <c r="O8" s="2">
        <v>78000</v>
      </c>
      <c r="P8" s="2">
        <v>175000</v>
      </c>
      <c r="Q8" s="2"/>
      <c r="R8" s="2"/>
      <c r="S8" s="2">
        <v>93000</v>
      </c>
      <c r="T8" s="2">
        <v>493000</v>
      </c>
      <c r="U8" s="2"/>
      <c r="V8" s="2">
        <v>96000</v>
      </c>
      <c r="W8" t="s">
        <v>72</v>
      </c>
      <c r="X8" s="2"/>
      <c r="Y8" s="2"/>
      <c r="Z8" s="2"/>
      <c r="AA8" s="2">
        <v>231000</v>
      </c>
      <c r="AB8" s="2">
        <v>109000</v>
      </c>
      <c r="AC8" s="2">
        <v>90000</v>
      </c>
      <c r="AD8" s="2"/>
      <c r="AE8" s="2"/>
      <c r="AF8" s="2"/>
      <c r="AG8" t="s">
        <v>70</v>
      </c>
      <c r="AH8" s="2">
        <v>140000</v>
      </c>
      <c r="AI8" s="2"/>
      <c r="AJ8" s="2">
        <v>146000</v>
      </c>
      <c r="AK8" s="2"/>
      <c r="AL8" s="2"/>
      <c r="AM8" s="2">
        <v>231000</v>
      </c>
      <c r="AN8" s="2">
        <v>39000</v>
      </c>
      <c r="AO8" s="2">
        <v>101000</v>
      </c>
      <c r="AP8" t="s">
        <v>72</v>
      </c>
      <c r="AQ8" s="2">
        <v>400000</v>
      </c>
      <c r="AR8" s="2"/>
      <c r="AS8" s="2"/>
      <c r="AT8" s="2">
        <v>102000</v>
      </c>
      <c r="AU8" s="2"/>
      <c r="AV8" s="2" t="e">
        <f>#N/A</f>
        <v>#N/A</v>
      </c>
    </row>
    <row r="9" spans="1:48" x14ac:dyDescent="0.25">
      <c r="A9" t="s">
        <v>69</v>
      </c>
      <c r="B9" s="2"/>
      <c r="C9" s="2"/>
      <c r="D9" s="2"/>
      <c r="E9" s="2"/>
      <c r="F9" s="2"/>
      <c r="G9" s="2"/>
      <c r="H9" s="2"/>
      <c r="I9" s="2"/>
      <c r="J9" s="2"/>
      <c r="K9" s="2"/>
      <c r="L9" t="s">
        <v>69</v>
      </c>
      <c r="M9" s="2"/>
      <c r="N9" s="2"/>
      <c r="O9" s="2"/>
      <c r="P9" s="2"/>
      <c r="Q9" s="2"/>
      <c r="R9" s="2"/>
      <c r="S9" s="2"/>
      <c r="T9" s="2"/>
      <c r="U9" s="2"/>
      <c r="V9" s="2"/>
      <c r="W9" t="s">
        <v>69</v>
      </c>
      <c r="X9" s="2"/>
      <c r="Y9" s="2">
        <v>85000</v>
      </c>
      <c r="Z9" s="2"/>
      <c r="AA9" s="2"/>
      <c r="AB9" s="2"/>
      <c r="AC9" s="2"/>
      <c r="AD9" s="2"/>
      <c r="AE9" s="2"/>
      <c r="AF9" s="2"/>
      <c r="AG9" t="s">
        <v>69</v>
      </c>
      <c r="AH9" s="2"/>
      <c r="AI9" s="2"/>
      <c r="AJ9" s="2"/>
      <c r="AK9" s="2"/>
      <c r="AL9" s="2"/>
      <c r="AM9" s="2"/>
      <c r="AN9" s="2"/>
      <c r="AO9" s="2"/>
      <c r="AP9" t="s">
        <v>69</v>
      </c>
      <c r="AQ9" s="2"/>
      <c r="AR9" s="2"/>
      <c r="AS9" s="2"/>
      <c r="AT9" s="2"/>
      <c r="AU9" s="2"/>
      <c r="AV9" s="2" t="e">
        <f>#N/A</f>
        <v>#N/A</v>
      </c>
    </row>
    <row r="10" spans="1:48" x14ac:dyDescent="0.25">
      <c r="A10" t="s">
        <v>76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t="s">
        <v>74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t="s">
        <v>74</v>
      </c>
      <c r="X10" s="2"/>
      <c r="Y10" s="2"/>
      <c r="Z10" s="2"/>
      <c r="AA10" s="2"/>
      <c r="AB10" s="2"/>
      <c r="AC10" s="2"/>
      <c r="AD10" s="2"/>
      <c r="AE10" s="2"/>
      <c r="AF10" s="2"/>
      <c r="AG10" t="s">
        <v>25</v>
      </c>
      <c r="AH10" s="2"/>
      <c r="AI10" s="2"/>
      <c r="AJ10" s="2"/>
      <c r="AK10" s="2"/>
      <c r="AL10" s="2"/>
      <c r="AM10" s="2"/>
      <c r="AN10" s="2"/>
      <c r="AO10" s="2"/>
      <c r="AP10" t="s">
        <v>74</v>
      </c>
      <c r="AQ10" s="2"/>
      <c r="AR10" s="2"/>
      <c r="AS10" s="2"/>
      <c r="AT10" s="2"/>
      <c r="AU10" s="2"/>
      <c r="AV10" s="2" t="e">
        <f>#N/A</f>
        <v>#N/A</v>
      </c>
    </row>
    <row r="11" spans="1:48" x14ac:dyDescent="0.25">
      <c r="A11" t="s">
        <v>73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t="s">
        <v>73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t="s">
        <v>73</v>
      </c>
      <c r="X11" s="2">
        <v>23000</v>
      </c>
      <c r="Y11" s="2"/>
      <c r="Z11" s="2"/>
      <c r="AA11" s="2"/>
      <c r="AB11" s="2"/>
      <c r="AC11" s="2"/>
      <c r="AD11" s="2"/>
      <c r="AE11" s="2"/>
      <c r="AF11" s="2"/>
      <c r="AG11" t="s">
        <v>73</v>
      </c>
      <c r="AH11" s="2"/>
      <c r="AI11" s="2"/>
      <c r="AJ11" s="2"/>
      <c r="AK11" s="2"/>
      <c r="AL11" s="2"/>
      <c r="AM11" s="2"/>
      <c r="AN11" s="2"/>
      <c r="AO11" s="2"/>
      <c r="AP11" t="s">
        <v>73</v>
      </c>
      <c r="AQ11" s="2"/>
      <c r="AR11" s="2"/>
      <c r="AS11" s="2"/>
      <c r="AT11" s="2"/>
      <c r="AU11" s="2"/>
      <c r="AV11" s="2" t="e">
        <f>#N/A</f>
        <v>#N/A</v>
      </c>
    </row>
    <row r="12" spans="1:48" x14ac:dyDescent="0.25">
      <c r="A12" t="s">
        <v>80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t="s">
        <v>80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t="s">
        <v>80</v>
      </c>
      <c r="X12" s="2"/>
      <c r="Y12" s="2"/>
      <c r="Z12" s="2"/>
      <c r="AA12" s="2"/>
      <c r="AB12" s="2"/>
      <c r="AC12" s="2"/>
      <c r="AD12" s="2"/>
      <c r="AE12" s="2"/>
      <c r="AF12" s="2"/>
      <c r="AG12" t="s">
        <v>80</v>
      </c>
      <c r="AH12" s="2"/>
      <c r="AI12" s="2"/>
      <c r="AJ12" s="2"/>
      <c r="AK12" s="2"/>
      <c r="AL12" s="2"/>
      <c r="AM12" s="2"/>
      <c r="AN12" s="2"/>
      <c r="AO12" s="2"/>
      <c r="AP12" t="s">
        <v>80</v>
      </c>
      <c r="AQ12" s="2"/>
      <c r="AR12" s="2"/>
      <c r="AS12" s="2"/>
      <c r="AT12" s="2"/>
      <c r="AU12" s="2"/>
      <c r="AV12" s="2" t="e">
        <f>#N/A</f>
        <v>#N/A</v>
      </c>
    </row>
    <row r="13" spans="1:48" ht="13.8" thickBot="1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M13" s="2"/>
      <c r="N13" s="2"/>
      <c r="O13" s="2"/>
      <c r="P13" s="2"/>
      <c r="Q13" s="2"/>
      <c r="R13" s="2"/>
      <c r="S13" s="2"/>
      <c r="T13" s="2"/>
      <c r="U13" s="2"/>
      <c r="V13" s="2"/>
      <c r="X13" s="2"/>
      <c r="Y13" s="2"/>
      <c r="Z13" s="2"/>
      <c r="AA13" s="2"/>
      <c r="AB13" s="2"/>
      <c r="AC13" s="2"/>
      <c r="AD13" s="2"/>
      <c r="AE13" s="2"/>
      <c r="AF13" s="2"/>
      <c r="AH13" s="2"/>
      <c r="AI13" s="2"/>
      <c r="AJ13" s="2"/>
      <c r="AK13" s="2"/>
      <c r="AL13" s="2"/>
      <c r="AM13" s="2"/>
      <c r="AN13" s="2"/>
      <c r="AO13" s="2"/>
      <c r="AQ13" s="2"/>
      <c r="AR13" s="2"/>
      <c r="AS13" s="2"/>
      <c r="AT13" s="2"/>
      <c r="AU13" s="2"/>
      <c r="AV13" s="2" t="e">
        <f>#N/A</f>
        <v>#N/A</v>
      </c>
    </row>
    <row r="14" spans="1:48" ht="13.8" thickBot="1" x14ac:dyDescent="0.3">
      <c r="A14" s="10" t="s">
        <v>26</v>
      </c>
      <c r="B14" s="4"/>
      <c r="C14" s="5"/>
      <c r="D14" s="5"/>
      <c r="E14" s="5"/>
      <c r="F14" s="5"/>
      <c r="G14" s="5"/>
      <c r="H14" s="5"/>
      <c r="I14" s="5"/>
      <c r="J14" s="5"/>
      <c r="K14" s="5"/>
      <c r="L14" s="10" t="s">
        <v>26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10" t="s">
        <v>26</v>
      </c>
      <c r="X14" s="4"/>
      <c r="Y14" s="5"/>
      <c r="Z14" s="5"/>
      <c r="AA14" s="5"/>
      <c r="AB14" s="5"/>
      <c r="AC14" s="5"/>
      <c r="AD14" s="5"/>
      <c r="AE14" s="5"/>
      <c r="AF14" s="6"/>
      <c r="AG14" s="10" t="s">
        <v>26</v>
      </c>
      <c r="AH14" s="4"/>
      <c r="AI14" s="5"/>
      <c r="AJ14" s="5"/>
      <c r="AK14" s="5"/>
      <c r="AL14" s="5"/>
      <c r="AM14" s="5"/>
      <c r="AN14" s="5"/>
      <c r="AO14" s="6"/>
      <c r="AP14" s="10" t="s">
        <v>26</v>
      </c>
      <c r="AQ14" s="4"/>
      <c r="AR14" s="5"/>
      <c r="AS14" s="5"/>
      <c r="AT14" s="6"/>
      <c r="AU14" s="32"/>
      <c r="AV14" s="2" t="e">
        <f>#N/A</f>
        <v>#N/A</v>
      </c>
    </row>
    <row r="15" spans="1:48" ht="13.8" thickBot="1" x14ac:dyDescent="0.3">
      <c r="A15" s="10" t="s">
        <v>27</v>
      </c>
      <c r="B15" s="4"/>
      <c r="C15" s="5"/>
      <c r="D15" s="5"/>
      <c r="E15" s="5"/>
      <c r="F15" s="5"/>
      <c r="G15" s="5"/>
      <c r="H15" s="5"/>
      <c r="I15" s="5"/>
      <c r="J15" s="28"/>
      <c r="K15" s="5"/>
      <c r="L15" s="10" t="s">
        <v>27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10" t="s">
        <v>27</v>
      </c>
      <c r="X15" s="4"/>
      <c r="Y15" s="5"/>
      <c r="Z15" s="5"/>
      <c r="AA15" s="5"/>
      <c r="AB15" s="5"/>
      <c r="AC15" s="5"/>
      <c r="AD15" s="5"/>
      <c r="AE15" s="5"/>
      <c r="AF15" s="6"/>
      <c r="AG15" s="10" t="s">
        <v>27</v>
      </c>
      <c r="AH15" s="4"/>
      <c r="AI15" s="5"/>
      <c r="AJ15" s="5"/>
      <c r="AK15" s="5"/>
      <c r="AL15" s="5"/>
      <c r="AM15" s="5"/>
      <c r="AN15" s="5"/>
      <c r="AO15" s="6"/>
      <c r="AP15" s="10" t="s">
        <v>27</v>
      </c>
      <c r="AQ15" s="4"/>
      <c r="AR15" s="5"/>
      <c r="AS15" s="5"/>
      <c r="AT15" s="6"/>
      <c r="AU15" s="32"/>
      <c r="AV15" s="2" t="e">
        <f>#N/A</f>
        <v>#N/A</v>
      </c>
    </row>
    <row r="16" spans="1:48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M16" s="2"/>
      <c r="N16" s="2"/>
      <c r="O16" s="2"/>
      <c r="P16" s="2"/>
      <c r="Q16" s="2"/>
      <c r="R16" s="2"/>
      <c r="S16" s="2"/>
      <c r="T16" s="2"/>
      <c r="U16" s="2"/>
      <c r="V16" s="2"/>
      <c r="X16" s="2"/>
      <c r="Y16" s="2"/>
      <c r="Z16" s="2"/>
      <c r="AA16" s="2"/>
      <c r="AB16" s="2"/>
      <c r="AC16" s="2"/>
      <c r="AD16" s="2"/>
      <c r="AE16" s="2"/>
      <c r="AF16" s="2"/>
      <c r="AH16" s="2"/>
      <c r="AI16" s="2"/>
      <c r="AJ16" s="2"/>
      <c r="AK16" s="2"/>
      <c r="AL16" s="2"/>
      <c r="AM16" s="2"/>
      <c r="AN16" s="2"/>
      <c r="AO16" s="2"/>
      <c r="AQ16" s="2"/>
      <c r="AR16" s="2"/>
      <c r="AS16" s="2"/>
      <c r="AT16" s="2"/>
      <c r="AU16" s="2"/>
      <c r="AV16" s="2" t="e">
        <f>#N/A</f>
        <v>#N/A</v>
      </c>
    </row>
    <row r="17" spans="1:48" x14ac:dyDescent="0.25">
      <c r="A17" s="1" t="s">
        <v>7</v>
      </c>
      <c r="B17" s="2" t="e">
        <f>B7-B8-B9-B10-B11-B12-B13-B14-B15</f>
        <v>#N/A</v>
      </c>
      <c r="C17" s="2" t="e">
        <f>#N/A</f>
        <v>#N/A</v>
      </c>
      <c r="D17" s="2" t="e">
        <f>#N/A</f>
        <v>#N/A</v>
      </c>
      <c r="E17" s="2">
        <f>E7-E8-E9-E10-E11-E12-E13-E14-E15</f>
        <v>248218</v>
      </c>
      <c r="F17" s="2" t="e">
        <f>#N/A</f>
        <v>#N/A</v>
      </c>
      <c r="G17" s="2" t="e">
        <f>#N/A</f>
        <v>#N/A</v>
      </c>
      <c r="H17" s="2" t="e">
        <f>#N/A</f>
        <v>#N/A</v>
      </c>
      <c r="I17" s="2" t="e">
        <f>#N/A</f>
        <v>#N/A</v>
      </c>
      <c r="J17" s="2">
        <f>J7-J8-J9-J10-J11-J12-J13-J14-J15</f>
        <v>22728</v>
      </c>
      <c r="K17" s="2">
        <f>K7-K8-K9-K10-K11-K12-K13-K14-K15</f>
        <v>451195</v>
      </c>
      <c r="L17" s="2" t="s">
        <v>17</v>
      </c>
      <c r="M17" s="2" t="e">
        <f>#N/A</f>
        <v>#N/A</v>
      </c>
      <c r="N17" s="2">
        <f>N7-N8-N9-N10-N11-N12-N13-N14-N15</f>
        <v>37215</v>
      </c>
      <c r="O17" s="2" t="e">
        <f>#N/A</f>
        <v>#N/A</v>
      </c>
      <c r="P17" s="2" t="e">
        <f>#N/A</f>
        <v>#N/A</v>
      </c>
      <c r="Q17" s="2">
        <f>Q7-Q8-Q9-Q10-Q11-Q12-Q13-Q14-Q15</f>
        <v>106933</v>
      </c>
      <c r="R17" s="2" t="e">
        <f>#N/A</f>
        <v>#N/A</v>
      </c>
      <c r="S17" s="2" t="e">
        <f>S7-S8-S9-S10-S11-S12-S13-S14-S15</f>
        <v>#N/A</v>
      </c>
      <c r="T17" s="2">
        <f>T7-T8-T9-T10-T11-T12-T13-T14-T15</f>
        <v>-233906</v>
      </c>
      <c r="U17" s="2" t="e">
        <f>#N/A</f>
        <v>#N/A</v>
      </c>
      <c r="V17" s="2">
        <f>V7-V8-V9-V10-V11-V12-V13-V14-V15</f>
        <v>45535</v>
      </c>
      <c r="W17" s="2" t="s">
        <v>17</v>
      </c>
      <c r="X17" s="2" t="e">
        <f>X7-X8-X9-X10-X11-X12-X13-X14-X15</f>
        <v>#N/A</v>
      </c>
      <c r="Y17" s="2" t="e">
        <f>#N/A</f>
        <v>#N/A</v>
      </c>
      <c r="Z17" s="2" t="e">
        <f>#N/A</f>
        <v>#N/A</v>
      </c>
      <c r="AA17" s="2" t="e">
        <f>#N/A</f>
        <v>#N/A</v>
      </c>
      <c r="AB17" s="2" t="e">
        <f>#N/A</f>
        <v>#N/A</v>
      </c>
      <c r="AC17" s="2" t="e">
        <f>#N/A</f>
        <v>#N/A</v>
      </c>
      <c r="AD17" s="2" t="e">
        <f>#N/A</f>
        <v>#N/A</v>
      </c>
      <c r="AE17" s="2" t="e">
        <f>#N/A</f>
        <v>#N/A</v>
      </c>
      <c r="AF17" s="2" t="e">
        <f>#N/A</f>
        <v>#N/A</v>
      </c>
      <c r="AG17" s="2" t="s">
        <v>17</v>
      </c>
      <c r="AH17" s="2" t="e">
        <f>AH7-AH8-AH9-AH10-AH11-AH12-AH13-AH14-AH15</f>
        <v>#N/A</v>
      </c>
      <c r="AI17" s="2" t="e">
        <f>#N/A</f>
        <v>#N/A</v>
      </c>
      <c r="AJ17" s="2" t="e">
        <f>#N/A</f>
        <v>#N/A</v>
      </c>
      <c r="AK17" s="2" t="e">
        <f>#N/A</f>
        <v>#N/A</v>
      </c>
      <c r="AL17" s="2" t="e">
        <f>#N/A</f>
        <v>#N/A</v>
      </c>
      <c r="AM17" s="2" t="e">
        <f>#N/A</f>
        <v>#N/A</v>
      </c>
      <c r="AN17" s="2" t="e">
        <f>#N/A</f>
        <v>#N/A</v>
      </c>
      <c r="AO17" s="2" t="e">
        <f>#N/A</f>
        <v>#N/A</v>
      </c>
      <c r="AP17" s="2" t="s">
        <v>17</v>
      </c>
      <c r="AQ17" s="2">
        <f>AQ7-AQ8-AQ9-AQ10-AQ11-AQ12-AQ13-AQ14-AQ15</f>
        <v>-55764</v>
      </c>
      <c r="AR17" s="2">
        <f>AR7-AR8-AR9-AR10-AR11-AR12-AR13-AR14-AR15</f>
        <v>79771</v>
      </c>
      <c r="AS17" s="2">
        <f>AS7-AS8-AS9-AS10-AS11-AS12-AS13-AS14-AS15</f>
        <v>145779</v>
      </c>
      <c r="AT17" s="2">
        <f>AT7-AT8-AT9-AT10-AT11-AT12-AT13-AT14-AT15</f>
        <v>57892</v>
      </c>
      <c r="AU17" s="2">
        <f>AU7-AU8-AU9-AU10-AU11-AU12-AU13-AU14-AU15</f>
        <v>0</v>
      </c>
      <c r="AV17" s="2" t="e">
        <f>#N/A</f>
        <v>#N/A</v>
      </c>
    </row>
    <row r="18" spans="1:48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H18" s="2"/>
      <c r="AI18" s="2"/>
      <c r="AJ18" s="2"/>
      <c r="AK18" s="2"/>
      <c r="AL18" s="2"/>
      <c r="AM18" s="2"/>
      <c r="AN18" s="2"/>
      <c r="AO18" s="2"/>
      <c r="AQ18" s="2"/>
      <c r="AR18" s="2"/>
      <c r="AS18" s="2"/>
      <c r="AT18" s="2"/>
      <c r="AU18" s="2"/>
      <c r="AV18" s="2" t="e">
        <f>#N/A</f>
        <v>#N/A</v>
      </c>
    </row>
    <row r="19" spans="1:48" x14ac:dyDescent="0.25">
      <c r="A19" t="s">
        <v>8</v>
      </c>
      <c r="B19" s="2">
        <v>241715</v>
      </c>
      <c r="C19" s="2">
        <v>255977</v>
      </c>
      <c r="D19" s="2">
        <v>447752</v>
      </c>
      <c r="E19" s="2">
        <v>559800</v>
      </c>
      <c r="F19" s="2">
        <v>304858</v>
      </c>
      <c r="G19" s="2">
        <v>105397</v>
      </c>
      <c r="H19" s="2">
        <v>189145</v>
      </c>
      <c r="I19" s="2">
        <v>599752</v>
      </c>
      <c r="J19" s="2">
        <v>200000</v>
      </c>
      <c r="K19" s="2">
        <v>617294</v>
      </c>
      <c r="L19" t="s">
        <v>8</v>
      </c>
      <c r="M19" s="2">
        <v>855235</v>
      </c>
      <c r="N19" s="2">
        <v>234185</v>
      </c>
      <c r="O19" s="2">
        <v>377909</v>
      </c>
      <c r="P19" s="2">
        <v>616730</v>
      </c>
      <c r="Q19" s="2">
        <v>890000</v>
      </c>
      <c r="R19" s="2">
        <v>354043</v>
      </c>
      <c r="S19" s="2">
        <v>716152</v>
      </c>
      <c r="T19" s="2">
        <v>1350000</v>
      </c>
      <c r="U19" s="2">
        <v>157500</v>
      </c>
      <c r="V19" s="2">
        <v>297852</v>
      </c>
      <c r="W19" t="s">
        <v>8</v>
      </c>
      <c r="X19" s="2">
        <v>1786500</v>
      </c>
      <c r="Y19" s="2">
        <v>1186200</v>
      </c>
      <c r="Z19" s="2">
        <v>541800</v>
      </c>
      <c r="AA19" s="2">
        <v>369000</v>
      </c>
      <c r="AB19" s="2">
        <v>235800</v>
      </c>
      <c r="AC19" s="2">
        <v>389700</v>
      </c>
      <c r="AD19" s="2">
        <v>796500</v>
      </c>
      <c r="AE19" s="2">
        <v>81600</v>
      </c>
      <c r="AF19" s="2">
        <v>159000</v>
      </c>
      <c r="AG19" t="s">
        <v>8</v>
      </c>
      <c r="AH19" s="2">
        <v>469841</v>
      </c>
      <c r="AI19" s="2">
        <v>311294</v>
      </c>
      <c r="AJ19" s="2">
        <v>420365</v>
      </c>
      <c r="AK19" s="2">
        <v>521901</v>
      </c>
      <c r="AL19" s="2">
        <v>357516</v>
      </c>
      <c r="AM19" s="2">
        <v>1174500</v>
      </c>
      <c r="AN19" s="2">
        <v>891000</v>
      </c>
      <c r="AO19" s="2">
        <v>693000</v>
      </c>
      <c r="AP19" t="s">
        <v>8</v>
      </c>
      <c r="AQ19" s="2">
        <v>1014300</v>
      </c>
      <c r="AR19" s="2">
        <v>256500</v>
      </c>
      <c r="AS19" s="2">
        <v>238500</v>
      </c>
      <c r="AT19" s="2">
        <v>386988</v>
      </c>
      <c r="AU19" s="2">
        <v>600000</v>
      </c>
      <c r="AV19" s="2" t="e">
        <f>#N/A</f>
        <v>#N/A</v>
      </c>
    </row>
    <row r="20" spans="1:48" x14ac:dyDescent="0.25">
      <c r="A20" t="s">
        <v>9</v>
      </c>
      <c r="B20" s="2">
        <v>274610</v>
      </c>
      <c r="C20" s="2"/>
      <c r="D20" s="2"/>
      <c r="E20" s="2"/>
      <c r="F20" s="2">
        <v>88704</v>
      </c>
      <c r="G20" s="2">
        <v>125453</v>
      </c>
      <c r="H20" s="2">
        <v>42897</v>
      </c>
      <c r="I20" s="2"/>
      <c r="J20" s="2"/>
      <c r="K20" s="2">
        <v>296653</v>
      </c>
      <c r="L20" t="s">
        <v>9</v>
      </c>
      <c r="M20" s="2">
        <v>209739</v>
      </c>
      <c r="N20" s="2"/>
      <c r="O20" s="2"/>
      <c r="P20" s="2">
        <v>140025</v>
      </c>
      <c r="Q20" s="2">
        <v>0</v>
      </c>
      <c r="R20" s="2"/>
      <c r="S20" s="2">
        <v>85956</v>
      </c>
      <c r="T20" s="2"/>
      <c r="U20" s="2">
        <v>90000</v>
      </c>
      <c r="V20" s="2">
        <v>235675</v>
      </c>
      <c r="W20" t="s">
        <v>9</v>
      </c>
      <c r="X20" s="2"/>
      <c r="Y20" s="2"/>
      <c r="Z20" s="2">
        <v>202500</v>
      </c>
      <c r="AA20" s="2"/>
      <c r="AB20" s="2"/>
      <c r="AC20" s="2"/>
      <c r="AD20" s="2">
        <v>225000</v>
      </c>
      <c r="AE20" s="2"/>
      <c r="AF20" s="2"/>
      <c r="AG20" t="s">
        <v>9</v>
      </c>
      <c r="AH20" s="2">
        <v>100000</v>
      </c>
      <c r="AI20" s="2">
        <v>45000</v>
      </c>
      <c r="AJ20" s="2"/>
      <c r="AK20" s="2">
        <v>30000</v>
      </c>
      <c r="AL20" s="2"/>
      <c r="AM20" s="2">
        <v>100000</v>
      </c>
      <c r="AN20" s="2"/>
      <c r="AO20" s="2"/>
      <c r="AP20" t="s">
        <v>9</v>
      </c>
      <c r="AQ20" s="2">
        <v>100000</v>
      </c>
      <c r="AR20" s="2"/>
      <c r="AS20" s="2"/>
      <c r="AT20" s="2"/>
      <c r="AU20" s="2"/>
      <c r="AV20" s="2" t="e">
        <f>#N/A</f>
        <v>#N/A</v>
      </c>
    </row>
    <row r="21" spans="1:48" x14ac:dyDescent="0.25">
      <c r="A21" t="s">
        <v>10</v>
      </c>
      <c r="B21" s="2"/>
      <c r="C21" s="2"/>
      <c r="D21" s="2"/>
      <c r="E21" s="2"/>
      <c r="F21" s="2"/>
      <c r="G21" s="2"/>
      <c r="H21" s="2">
        <v>0</v>
      </c>
      <c r="I21" s="2"/>
      <c r="J21" s="2"/>
      <c r="K21" s="2">
        <v>0</v>
      </c>
      <c r="L21" t="s">
        <v>10</v>
      </c>
      <c r="M21" s="2">
        <v>0</v>
      </c>
      <c r="N21" s="2"/>
      <c r="O21" s="2"/>
      <c r="P21" s="2">
        <v>0</v>
      </c>
      <c r="Q21" s="2"/>
      <c r="R21" s="2"/>
      <c r="S21" s="2"/>
      <c r="T21" s="2"/>
      <c r="U21" s="2"/>
      <c r="V21" s="2"/>
      <c r="W21" t="s">
        <v>10</v>
      </c>
      <c r="X21" s="2"/>
      <c r="Y21" s="2"/>
      <c r="Z21" s="2"/>
      <c r="AA21" s="2"/>
      <c r="AB21" s="2"/>
      <c r="AC21" s="2"/>
      <c r="AD21" s="2"/>
      <c r="AE21" s="2"/>
      <c r="AF21" s="2"/>
      <c r="AG21" t="s">
        <v>10</v>
      </c>
      <c r="AH21" s="2"/>
      <c r="AI21" s="2"/>
      <c r="AJ21" s="2"/>
      <c r="AK21" s="2"/>
      <c r="AL21" s="2"/>
      <c r="AM21" s="2"/>
      <c r="AN21" s="2"/>
      <c r="AO21" s="2"/>
      <c r="AP21" t="s">
        <v>10</v>
      </c>
      <c r="AQ21" s="2"/>
      <c r="AR21" s="2"/>
      <c r="AS21" s="2"/>
      <c r="AT21" s="2"/>
      <c r="AU21" s="2"/>
      <c r="AV21" s="2" t="e">
        <f>#N/A</f>
        <v>#N/A</v>
      </c>
    </row>
    <row r="22" spans="1:48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M22" s="2"/>
      <c r="N22" s="2"/>
      <c r="O22" s="2"/>
      <c r="P22" s="2"/>
      <c r="Q22" s="2"/>
      <c r="R22" s="2"/>
      <c r="S22" s="2"/>
      <c r="T22" s="2"/>
      <c r="U22" s="2"/>
      <c r="V22" s="2"/>
      <c r="X22" s="2"/>
      <c r="Y22" s="2"/>
      <c r="Z22" s="2"/>
      <c r="AA22" s="2"/>
      <c r="AB22" s="2"/>
      <c r="AC22" s="2"/>
      <c r="AD22" s="2"/>
      <c r="AE22" s="2"/>
      <c r="AF22" s="2"/>
      <c r="AH22" s="2"/>
      <c r="AI22" s="2"/>
      <c r="AJ22" s="2"/>
      <c r="AK22" s="2"/>
      <c r="AL22" s="2"/>
      <c r="AM22" s="2"/>
      <c r="AN22" s="2"/>
      <c r="AO22" s="2"/>
      <c r="AQ22" s="2"/>
      <c r="AR22" s="2"/>
      <c r="AS22" s="2"/>
      <c r="AT22" s="2"/>
      <c r="AU22" s="2"/>
      <c r="AV22" s="2" t="e">
        <f>#N/A</f>
        <v>#N/A</v>
      </c>
    </row>
    <row r="23" spans="1:48" x14ac:dyDescent="0.25">
      <c r="A23" t="s">
        <v>11</v>
      </c>
      <c r="B23" s="2" t="e">
        <f>#N/A</f>
        <v>#N/A</v>
      </c>
      <c r="C23" s="2" t="e">
        <f>#N/A</f>
        <v>#N/A</v>
      </c>
      <c r="D23" s="2" t="e">
        <f>#N/A</f>
        <v>#N/A</v>
      </c>
      <c r="E23" s="2">
        <f>E17</f>
        <v>248218</v>
      </c>
      <c r="F23" s="2" t="e">
        <f>#N/A</f>
        <v>#N/A</v>
      </c>
      <c r="G23" s="2" t="e">
        <f>#N/A</f>
        <v>#N/A</v>
      </c>
      <c r="H23" s="2" t="e">
        <f>#N/A</f>
        <v>#N/A</v>
      </c>
      <c r="I23" s="2" t="e">
        <f>#N/A</f>
        <v>#N/A</v>
      </c>
      <c r="J23" s="2">
        <f>J17</f>
        <v>22728</v>
      </c>
      <c r="K23" s="2">
        <f>K17</f>
        <v>451195</v>
      </c>
      <c r="L23" t="s">
        <v>11</v>
      </c>
      <c r="M23" s="2" t="e">
        <f>#N/A</f>
        <v>#N/A</v>
      </c>
      <c r="N23" s="2">
        <f>N17</f>
        <v>37215</v>
      </c>
      <c r="O23" s="2" t="e">
        <f>#N/A</f>
        <v>#N/A</v>
      </c>
      <c r="P23" s="2" t="e">
        <f>#N/A</f>
        <v>#N/A</v>
      </c>
      <c r="Q23" s="2">
        <f>Q17</f>
        <v>106933</v>
      </c>
      <c r="R23" s="2" t="e">
        <f>#N/A</f>
        <v>#N/A</v>
      </c>
      <c r="S23" s="2" t="e">
        <f>S17</f>
        <v>#N/A</v>
      </c>
      <c r="T23" s="2">
        <f>T17</f>
        <v>-233906</v>
      </c>
      <c r="U23" s="2" t="e">
        <f>#N/A</f>
        <v>#N/A</v>
      </c>
      <c r="V23" s="2">
        <f>V17</f>
        <v>45535</v>
      </c>
      <c r="W23" s="2" t="e">
        <f>#N/A</f>
        <v>#N/A</v>
      </c>
      <c r="X23" s="2" t="e">
        <f>#N/A</f>
        <v>#N/A</v>
      </c>
      <c r="Y23" s="2" t="e">
        <f>#N/A</f>
        <v>#N/A</v>
      </c>
      <c r="Z23" s="2" t="e">
        <f>#N/A</f>
        <v>#N/A</v>
      </c>
      <c r="AA23" s="2" t="e">
        <f>#N/A</f>
        <v>#N/A</v>
      </c>
      <c r="AB23" s="2" t="e">
        <f>#N/A</f>
        <v>#N/A</v>
      </c>
      <c r="AC23" s="2" t="e">
        <f>#N/A</f>
        <v>#N/A</v>
      </c>
      <c r="AD23" s="2" t="e">
        <f>#N/A</f>
        <v>#N/A</v>
      </c>
      <c r="AE23" s="2" t="e">
        <f>#N/A</f>
        <v>#N/A</v>
      </c>
      <c r="AF23" s="2" t="e">
        <f>#N/A</f>
        <v>#N/A</v>
      </c>
      <c r="AG23" s="2" t="e">
        <f>#N/A</f>
        <v>#N/A</v>
      </c>
      <c r="AH23" s="2" t="e">
        <f>#N/A</f>
        <v>#N/A</v>
      </c>
      <c r="AI23" s="2" t="e">
        <f>#N/A</f>
        <v>#N/A</v>
      </c>
      <c r="AJ23" s="2" t="e">
        <f>#N/A</f>
        <v>#N/A</v>
      </c>
      <c r="AK23" s="2" t="e">
        <f>#N/A</f>
        <v>#N/A</v>
      </c>
      <c r="AL23" s="2" t="e">
        <f>#N/A</f>
        <v>#N/A</v>
      </c>
      <c r="AM23" s="2" t="e">
        <f>#N/A</f>
        <v>#N/A</v>
      </c>
      <c r="AN23" s="2" t="e">
        <f>#N/A</f>
        <v>#N/A</v>
      </c>
      <c r="AO23" s="2" t="e">
        <f>#N/A</f>
        <v>#N/A</v>
      </c>
      <c r="AP23" s="2" t="e">
        <f>#N/A</f>
        <v>#N/A</v>
      </c>
      <c r="AQ23" s="2" t="e">
        <f>#N/A</f>
        <v>#N/A</v>
      </c>
      <c r="AR23" s="2" t="e">
        <f>#N/A</f>
        <v>#N/A</v>
      </c>
      <c r="AS23" s="2" t="e">
        <f>#N/A</f>
        <v>#N/A</v>
      </c>
      <c r="AT23" s="2" t="e">
        <f>#N/A</f>
        <v>#N/A</v>
      </c>
      <c r="AU23" s="2" t="e">
        <f>#N/A</f>
        <v>#N/A</v>
      </c>
      <c r="AV23" s="2" t="e">
        <f>#N/A</f>
        <v>#N/A</v>
      </c>
    </row>
    <row r="24" spans="1:48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M24" s="2"/>
      <c r="N24" s="2"/>
      <c r="O24" s="2"/>
      <c r="P24" s="2"/>
      <c r="Q24" s="2"/>
      <c r="R24" s="2"/>
      <c r="S24" s="2"/>
      <c r="T24" s="2"/>
      <c r="U24" s="2"/>
      <c r="V24" s="2"/>
      <c r="X24" s="2"/>
      <c r="Y24" s="2"/>
      <c r="Z24" s="2"/>
      <c r="AA24" s="2"/>
      <c r="AB24" s="2"/>
      <c r="AC24" s="2"/>
      <c r="AD24" s="2"/>
      <c r="AE24" s="2"/>
      <c r="AF24" s="2"/>
      <c r="AH24" s="2"/>
      <c r="AI24" s="2"/>
      <c r="AJ24" s="2"/>
      <c r="AK24" s="2"/>
      <c r="AL24" s="2"/>
      <c r="AM24" s="2"/>
      <c r="AN24" s="2"/>
      <c r="AO24" s="2"/>
      <c r="AQ24" s="2"/>
      <c r="AR24" s="2"/>
      <c r="AS24" s="2"/>
      <c r="AT24" s="2"/>
      <c r="AU24" s="2"/>
      <c r="AV24" s="2" t="e">
        <f>#N/A</f>
        <v>#N/A</v>
      </c>
    </row>
    <row r="25" spans="1:48" x14ac:dyDescent="0.25">
      <c r="A25" s="1" t="s">
        <v>12</v>
      </c>
      <c r="B25" s="2" t="e">
        <f>B19+B20-B23</f>
        <v>#N/A</v>
      </c>
      <c r="C25" s="2" t="e">
        <f>#N/A</f>
        <v>#N/A</v>
      </c>
      <c r="D25" s="2" t="e">
        <f>#N/A</f>
        <v>#N/A</v>
      </c>
      <c r="E25" s="2">
        <f>E19+E20-E23</f>
        <v>311582</v>
      </c>
      <c r="F25" s="2" t="e">
        <f>#N/A</f>
        <v>#N/A</v>
      </c>
      <c r="G25" s="2" t="e">
        <f>#N/A</f>
        <v>#N/A</v>
      </c>
      <c r="H25" s="2" t="e">
        <f>#N/A</f>
        <v>#N/A</v>
      </c>
      <c r="I25" s="2" t="e">
        <f>#N/A</f>
        <v>#N/A</v>
      </c>
      <c r="J25" s="2">
        <f>J19+J20-J23</f>
        <v>177272</v>
      </c>
      <c r="K25" s="2">
        <f>K19+K20-K23</f>
        <v>462752</v>
      </c>
      <c r="L25" s="1" t="s">
        <v>12</v>
      </c>
      <c r="M25" s="2" t="e">
        <f>#N/A</f>
        <v>#N/A</v>
      </c>
      <c r="N25" s="2">
        <f>N19+N20-N23</f>
        <v>196970</v>
      </c>
      <c r="O25" s="2" t="e">
        <f>#N/A</f>
        <v>#N/A</v>
      </c>
      <c r="P25" s="2" t="e">
        <f>#N/A</f>
        <v>#N/A</v>
      </c>
      <c r="Q25" s="2">
        <f>Q19+Q20-Q23</f>
        <v>783067</v>
      </c>
      <c r="R25" s="2" t="e">
        <f>#N/A</f>
        <v>#N/A</v>
      </c>
      <c r="S25" s="2" t="e">
        <f>S19+S20-S23</f>
        <v>#N/A</v>
      </c>
      <c r="T25" s="2">
        <f>T19+T20-T23</f>
        <v>1583906</v>
      </c>
      <c r="U25" s="2" t="e">
        <f>#N/A</f>
        <v>#N/A</v>
      </c>
      <c r="V25" s="2">
        <f>V19+V20-V23</f>
        <v>487992</v>
      </c>
      <c r="W25" s="1" t="s">
        <v>12</v>
      </c>
      <c r="X25" s="2" t="e">
        <f>#N/A</f>
        <v>#N/A</v>
      </c>
      <c r="Y25" s="2" t="e">
        <f>#N/A</f>
        <v>#N/A</v>
      </c>
      <c r="Z25" s="2" t="e">
        <f>#N/A</f>
        <v>#N/A</v>
      </c>
      <c r="AA25" s="2" t="e">
        <f>#N/A</f>
        <v>#N/A</v>
      </c>
      <c r="AB25" s="2" t="e">
        <f>#N/A</f>
        <v>#N/A</v>
      </c>
      <c r="AC25" s="2" t="e">
        <f>#N/A</f>
        <v>#N/A</v>
      </c>
      <c r="AD25" s="2" t="e">
        <f>#N/A</f>
        <v>#N/A</v>
      </c>
      <c r="AE25" s="2" t="e">
        <f>#N/A</f>
        <v>#N/A</v>
      </c>
      <c r="AF25" s="2" t="e">
        <f>#N/A</f>
        <v>#N/A</v>
      </c>
      <c r="AG25" s="1" t="s">
        <v>12</v>
      </c>
      <c r="AH25" s="2" t="e">
        <f>#N/A</f>
        <v>#N/A</v>
      </c>
      <c r="AI25" s="2" t="e">
        <f>#N/A</f>
        <v>#N/A</v>
      </c>
      <c r="AJ25" s="2" t="e">
        <f>#N/A</f>
        <v>#N/A</v>
      </c>
      <c r="AK25" s="2" t="e">
        <f>#N/A</f>
        <v>#N/A</v>
      </c>
      <c r="AL25" s="2" t="e">
        <f>#N/A</f>
        <v>#N/A</v>
      </c>
      <c r="AM25" s="2" t="e">
        <f>#N/A</f>
        <v>#N/A</v>
      </c>
      <c r="AN25" s="2" t="e">
        <f>#N/A</f>
        <v>#N/A</v>
      </c>
      <c r="AO25" s="2" t="e">
        <f>#N/A</f>
        <v>#N/A</v>
      </c>
      <c r="AP25" s="1" t="s">
        <v>12</v>
      </c>
      <c r="AQ25" s="2" t="e">
        <f>#N/A</f>
        <v>#N/A</v>
      </c>
      <c r="AR25" s="2" t="e">
        <f>#N/A</f>
        <v>#N/A</v>
      </c>
      <c r="AS25" s="2" t="e">
        <f>#N/A</f>
        <v>#N/A</v>
      </c>
      <c r="AT25" s="2" t="e">
        <f>#N/A</f>
        <v>#N/A</v>
      </c>
      <c r="AU25" s="2" t="e">
        <f>#N/A</f>
        <v>#N/A</v>
      </c>
      <c r="AV25" s="2" t="e">
        <f>#N/A</f>
        <v>#N/A</v>
      </c>
    </row>
    <row r="26" spans="1:48" ht="13.8" thickBot="1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M26" s="2"/>
      <c r="N26" s="2"/>
      <c r="O26" s="2"/>
      <c r="P26" s="2"/>
      <c r="Q26" s="2"/>
      <c r="R26" s="2"/>
      <c r="S26" s="2"/>
      <c r="T26" s="2"/>
      <c r="U26" s="2"/>
      <c r="V26" s="2"/>
      <c r="X26" s="2"/>
      <c r="Y26" s="2"/>
      <c r="Z26" s="2"/>
      <c r="AA26" s="2"/>
      <c r="AB26" s="2"/>
      <c r="AC26" s="2"/>
      <c r="AD26" s="2"/>
      <c r="AE26" s="2"/>
      <c r="AF26" s="2"/>
      <c r="AH26" s="2"/>
      <c r="AI26" s="2"/>
      <c r="AJ26" s="2"/>
      <c r="AK26" s="2"/>
      <c r="AL26" s="2"/>
      <c r="AM26" s="2"/>
      <c r="AN26" s="2"/>
      <c r="AO26" s="2"/>
      <c r="AQ26" s="2"/>
      <c r="AR26" s="2"/>
      <c r="AS26" s="2"/>
      <c r="AT26" s="2"/>
      <c r="AU26" s="2"/>
      <c r="AV26" s="2" t="e">
        <f>#N/A</f>
        <v>#N/A</v>
      </c>
    </row>
    <row r="27" spans="1:48" ht="13.8" thickBot="1" x14ac:dyDescent="0.3">
      <c r="A27" s="1" t="s">
        <v>78</v>
      </c>
      <c r="B27" s="4"/>
      <c r="C27" s="5"/>
      <c r="D27" s="5"/>
      <c r="E27" s="5"/>
      <c r="F27" s="5"/>
      <c r="G27" s="5"/>
      <c r="H27" s="5"/>
      <c r="I27" s="5"/>
      <c r="J27" s="5"/>
      <c r="K27" s="4"/>
      <c r="L27" s="1" t="s">
        <v>79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1" t="s">
        <v>79</v>
      </c>
      <c r="X27" s="4"/>
      <c r="Y27" s="5"/>
      <c r="Z27" s="5"/>
      <c r="AA27" s="5"/>
      <c r="AB27" s="5"/>
      <c r="AC27" s="5"/>
      <c r="AD27" s="5"/>
      <c r="AE27" s="5"/>
      <c r="AF27" s="6"/>
      <c r="AG27" s="1" t="s">
        <v>79</v>
      </c>
      <c r="AH27" s="4"/>
      <c r="AI27" s="5"/>
      <c r="AJ27" s="5"/>
      <c r="AK27" s="5"/>
      <c r="AL27" s="5"/>
      <c r="AM27" s="5"/>
      <c r="AN27" s="5"/>
      <c r="AO27" s="6"/>
      <c r="AP27" s="1" t="s">
        <v>79</v>
      </c>
      <c r="AQ27" s="4"/>
      <c r="AR27" s="5"/>
      <c r="AS27" s="5"/>
      <c r="AT27" s="6"/>
      <c r="AU27" s="32"/>
      <c r="AV27" s="2" t="e">
        <f>#N/A</f>
        <v>#N/A</v>
      </c>
    </row>
    <row r="28" spans="1:48" ht="13.8" thickBot="1" x14ac:dyDescent="0.3">
      <c r="A28" s="1" t="s">
        <v>68</v>
      </c>
      <c r="B28" s="4"/>
      <c r="C28" s="5">
        <v>100000</v>
      </c>
      <c r="D28" s="5">
        <v>100000</v>
      </c>
      <c r="E28" s="5">
        <v>75000</v>
      </c>
      <c r="F28" s="5">
        <v>100000</v>
      </c>
      <c r="G28" s="5"/>
      <c r="H28" s="5"/>
      <c r="I28" s="5">
        <v>250000</v>
      </c>
      <c r="J28" s="5">
        <v>120000</v>
      </c>
      <c r="K28" s="4">
        <v>200000</v>
      </c>
      <c r="L28" s="1" t="s">
        <v>68</v>
      </c>
      <c r="M28" s="5">
        <v>200000</v>
      </c>
      <c r="N28" s="5"/>
      <c r="O28" s="5">
        <v>80000</v>
      </c>
      <c r="P28" s="5">
        <v>250000</v>
      </c>
      <c r="Q28" s="5"/>
      <c r="R28" s="5"/>
      <c r="S28" s="5">
        <v>200000</v>
      </c>
      <c r="T28" s="5">
        <v>450000</v>
      </c>
      <c r="U28" s="5">
        <v>40000</v>
      </c>
      <c r="V28" s="5">
        <v>175000</v>
      </c>
      <c r="W28" s="1" t="s">
        <v>68</v>
      </c>
      <c r="X28" s="4"/>
      <c r="Y28" s="5">
        <v>200000</v>
      </c>
      <c r="Z28" s="5">
        <v>350000</v>
      </c>
      <c r="AA28" s="5">
        <v>200000</v>
      </c>
      <c r="AB28" s="5">
        <v>50000</v>
      </c>
      <c r="AC28" s="5">
        <v>125000</v>
      </c>
      <c r="AD28" s="5">
        <v>100000</v>
      </c>
      <c r="AE28" s="5">
        <v>130000</v>
      </c>
      <c r="AF28" s="6">
        <v>250000</v>
      </c>
      <c r="AG28" s="1" t="s">
        <v>68</v>
      </c>
      <c r="AH28" s="4">
        <v>300000</v>
      </c>
      <c r="AI28" s="5">
        <v>130000</v>
      </c>
      <c r="AJ28" s="5">
        <v>250000</v>
      </c>
      <c r="AK28" s="5">
        <v>240000</v>
      </c>
      <c r="AL28" s="5"/>
      <c r="AM28" s="5">
        <v>290000</v>
      </c>
      <c r="AN28" s="5">
        <v>55000</v>
      </c>
      <c r="AO28" s="6">
        <v>85000</v>
      </c>
      <c r="AP28" s="1" t="s">
        <v>68</v>
      </c>
      <c r="AQ28" s="4">
        <v>350000</v>
      </c>
      <c r="AR28" s="5">
        <v>20000</v>
      </c>
      <c r="AS28" s="5">
        <v>80000</v>
      </c>
      <c r="AT28" s="6">
        <v>175000</v>
      </c>
      <c r="AU28" s="32"/>
      <c r="AV28" s="2" t="e">
        <f>#N/A</f>
        <v>#N/A</v>
      </c>
    </row>
    <row r="29" spans="1:48" ht="13.8" thickBot="1" x14ac:dyDescent="0.3">
      <c r="A29" s="1" t="s">
        <v>15</v>
      </c>
      <c r="B29" s="4"/>
      <c r="C29" s="5">
        <v>20000</v>
      </c>
      <c r="D29" s="5">
        <v>275000</v>
      </c>
      <c r="E29" s="5">
        <v>100000</v>
      </c>
      <c r="F29" s="5">
        <v>80000</v>
      </c>
      <c r="G29" s="5"/>
      <c r="H29" s="5"/>
      <c r="I29" s="5">
        <v>30000</v>
      </c>
      <c r="J29" s="5"/>
      <c r="K29" s="4">
        <v>775000</v>
      </c>
      <c r="L29" s="1" t="s">
        <v>15</v>
      </c>
      <c r="M29" s="5">
        <v>350000</v>
      </c>
      <c r="N29" s="5"/>
      <c r="O29" s="5">
        <v>90000</v>
      </c>
      <c r="P29" s="5">
        <v>175000</v>
      </c>
      <c r="Q29" s="5"/>
      <c r="R29" s="5"/>
      <c r="S29" s="5">
        <v>80000</v>
      </c>
      <c r="T29" s="5">
        <v>400000</v>
      </c>
      <c r="U29" s="5">
        <v>3000</v>
      </c>
      <c r="V29" s="5">
        <v>125000</v>
      </c>
      <c r="W29" s="1" t="s">
        <v>15</v>
      </c>
      <c r="X29" s="4"/>
      <c r="Y29" s="5">
        <v>60000</v>
      </c>
      <c r="Z29" s="5">
        <v>25000</v>
      </c>
      <c r="AA29" s="5">
        <v>110000</v>
      </c>
      <c r="AB29" s="5">
        <v>160000</v>
      </c>
      <c r="AC29" s="5">
        <v>15000</v>
      </c>
      <c r="AD29" s="5">
        <v>150000</v>
      </c>
      <c r="AE29" s="5"/>
      <c r="AF29" s="6">
        <v>100000</v>
      </c>
      <c r="AG29" s="1" t="s">
        <v>15</v>
      </c>
      <c r="AH29" s="4">
        <v>20000</v>
      </c>
      <c r="AI29" s="5"/>
      <c r="AJ29" s="5">
        <v>75000</v>
      </c>
      <c r="AK29" s="5">
        <v>65000</v>
      </c>
      <c r="AL29" s="5"/>
      <c r="AM29" s="5">
        <v>520000</v>
      </c>
      <c r="AN29" s="5">
        <v>500000</v>
      </c>
      <c r="AO29" s="6">
        <v>410000</v>
      </c>
      <c r="AP29" s="1" t="s">
        <v>15</v>
      </c>
      <c r="AQ29" s="4">
        <v>450000</v>
      </c>
      <c r="AR29" s="5">
        <v>50000</v>
      </c>
      <c r="AS29" s="5"/>
      <c r="AT29" s="6">
        <v>50000</v>
      </c>
      <c r="AU29" s="32"/>
      <c r="AV29" s="2" t="e">
        <f>#N/A</f>
        <v>#N/A</v>
      </c>
    </row>
    <row r="30" spans="1:48" ht="13.8" thickBot="1" x14ac:dyDescent="0.3">
      <c r="A30" s="1" t="s">
        <v>16</v>
      </c>
      <c r="B30" s="19"/>
      <c r="C30" s="20">
        <v>35000</v>
      </c>
      <c r="D30" s="20">
        <v>15000</v>
      </c>
      <c r="E30" s="20">
        <v>5000</v>
      </c>
      <c r="F30" s="20">
        <v>40000</v>
      </c>
      <c r="G30" s="20"/>
      <c r="H30" s="20"/>
      <c r="I30" s="20">
        <v>30000</v>
      </c>
      <c r="J30" s="5"/>
      <c r="K30" s="4">
        <v>130000</v>
      </c>
      <c r="L30" s="1" t="s">
        <v>16</v>
      </c>
      <c r="M30" s="5">
        <v>40000</v>
      </c>
      <c r="N30" s="5"/>
      <c r="O30" s="5"/>
      <c r="P30" s="5">
        <v>100000</v>
      </c>
      <c r="Q30" s="5"/>
      <c r="R30" s="5"/>
      <c r="S30" s="5">
        <v>100000</v>
      </c>
      <c r="T30" s="5">
        <v>100000</v>
      </c>
      <c r="U30" s="5">
        <v>5000</v>
      </c>
      <c r="V30" s="5">
        <v>30000</v>
      </c>
      <c r="W30" s="1" t="s">
        <v>16</v>
      </c>
      <c r="X30" s="4">
        <v>400000</v>
      </c>
      <c r="Y30" s="5">
        <v>30000</v>
      </c>
      <c r="Z30" s="5">
        <v>35000</v>
      </c>
      <c r="AA30" s="5">
        <v>40000</v>
      </c>
      <c r="AB30" s="5">
        <v>60000</v>
      </c>
      <c r="AC30" s="5">
        <v>20000</v>
      </c>
      <c r="AD30" s="5">
        <v>30000</v>
      </c>
      <c r="AE30" s="5">
        <v>15000</v>
      </c>
      <c r="AF30" s="6">
        <v>35000</v>
      </c>
      <c r="AG30" s="1" t="s">
        <v>16</v>
      </c>
      <c r="AH30" s="4">
        <v>50000</v>
      </c>
      <c r="AI30" s="5">
        <v>20000</v>
      </c>
      <c r="AJ30" s="5">
        <v>100000</v>
      </c>
      <c r="AK30" s="5">
        <v>35000</v>
      </c>
      <c r="AL30" s="5"/>
      <c r="AM30" s="5">
        <v>90000</v>
      </c>
      <c r="AN30" s="5">
        <v>90000</v>
      </c>
      <c r="AO30" s="6">
        <v>100000</v>
      </c>
      <c r="AP30" s="1" t="s">
        <v>16</v>
      </c>
      <c r="AQ30" s="4">
        <v>70000</v>
      </c>
      <c r="AR30" s="5"/>
      <c r="AS30" s="5"/>
      <c r="AT30" s="6">
        <v>20000</v>
      </c>
      <c r="AU30" s="32"/>
      <c r="AV30" s="2" t="e">
        <f>#N/A</f>
        <v>#N/A</v>
      </c>
    </row>
    <row r="31" spans="1:48" ht="13.8" thickBot="1" x14ac:dyDescent="0.3">
      <c r="A31" s="1" t="s">
        <v>100</v>
      </c>
      <c r="B31" s="4"/>
      <c r="C31" s="5"/>
      <c r="D31" s="5"/>
      <c r="E31" s="5">
        <v>10000</v>
      </c>
      <c r="F31" s="5"/>
      <c r="G31" s="5"/>
      <c r="H31" s="5"/>
      <c r="I31" s="5"/>
      <c r="J31" s="5"/>
      <c r="K31" s="4"/>
      <c r="L31" s="33" t="s">
        <v>100</v>
      </c>
      <c r="M31" s="5">
        <v>25000</v>
      </c>
      <c r="N31" s="5"/>
      <c r="O31" s="5"/>
      <c r="P31" s="5">
        <v>25000</v>
      </c>
      <c r="Q31" s="5"/>
      <c r="R31" s="5"/>
      <c r="S31" s="5"/>
      <c r="T31" s="5"/>
      <c r="U31" s="5"/>
      <c r="V31" s="5">
        <v>3000</v>
      </c>
      <c r="W31" s="1" t="s">
        <v>101</v>
      </c>
      <c r="X31" s="4"/>
      <c r="Y31" s="5"/>
      <c r="Z31" s="5"/>
      <c r="AA31" s="5"/>
      <c r="AB31" s="5">
        <v>10000</v>
      </c>
      <c r="AC31" s="5">
        <v>5000</v>
      </c>
      <c r="AD31" s="5"/>
      <c r="AE31" s="5"/>
      <c r="AF31" s="6"/>
      <c r="AG31" s="1" t="s">
        <v>101</v>
      </c>
      <c r="AH31" s="4"/>
      <c r="AI31" s="5"/>
      <c r="AJ31" s="5">
        <v>10000</v>
      </c>
      <c r="AK31" s="5"/>
      <c r="AL31" s="5"/>
      <c r="AM31" s="5"/>
      <c r="AN31" s="5"/>
      <c r="AO31" s="6"/>
      <c r="AP31" s="1" t="s">
        <v>101</v>
      </c>
      <c r="AQ31" s="4">
        <v>150000</v>
      </c>
      <c r="AR31" s="5"/>
      <c r="AS31" s="5"/>
      <c r="AT31" s="6"/>
      <c r="AU31" s="32"/>
      <c r="AV31" s="2" t="e">
        <f>#N/A</f>
        <v>#N/A</v>
      </c>
    </row>
    <row r="32" spans="1:48" x14ac:dyDescent="0.25">
      <c r="A32" s="1" t="s">
        <v>13</v>
      </c>
      <c r="B32" s="2" t="e">
        <f>B25-B27-B28-B29-B30-B31</f>
        <v>#N/A</v>
      </c>
      <c r="C32" s="2" t="e">
        <f>#N/A</f>
        <v>#N/A</v>
      </c>
      <c r="D32" s="2" t="e">
        <f>#N/A</f>
        <v>#N/A</v>
      </c>
      <c r="E32" s="2">
        <f>E25-E27-E28-E29-E30-E31</f>
        <v>121582</v>
      </c>
      <c r="F32" s="2" t="e">
        <f>#N/A</f>
        <v>#N/A</v>
      </c>
      <c r="G32" s="2" t="e">
        <f>#N/A</f>
        <v>#N/A</v>
      </c>
      <c r="H32" s="2" t="e">
        <f>#N/A</f>
        <v>#N/A</v>
      </c>
      <c r="I32" s="2" t="e">
        <f>#N/A</f>
        <v>#N/A</v>
      </c>
      <c r="J32" s="2">
        <f>J25-J27-J28-J29-J30-J31</f>
        <v>57272</v>
      </c>
      <c r="K32" s="2">
        <f>K25-K27-K28-K29-K30-K31</f>
        <v>-642248</v>
      </c>
      <c r="L32" s="14" t="s">
        <v>13</v>
      </c>
      <c r="M32" s="2" t="e">
        <f>#N/A</f>
        <v>#N/A</v>
      </c>
      <c r="N32" s="2">
        <f>N25-N27-N28-N29-N30-N31</f>
        <v>196970</v>
      </c>
      <c r="O32" s="2" t="e">
        <f>#N/A</f>
        <v>#N/A</v>
      </c>
      <c r="P32" s="2" t="e">
        <f>#N/A</f>
        <v>#N/A</v>
      </c>
      <c r="Q32" s="2">
        <f>Q25-Q27-Q28-Q29-Q30-Q31</f>
        <v>783067</v>
      </c>
      <c r="R32" s="2" t="e">
        <f>#N/A</f>
        <v>#N/A</v>
      </c>
      <c r="S32" s="2" t="e">
        <f>S25-S27-S28-S29-S30-S31</f>
        <v>#N/A</v>
      </c>
      <c r="T32" s="2">
        <f>T25-T27-T28-T29-T30-T31</f>
        <v>633906</v>
      </c>
      <c r="U32" s="2" t="e">
        <f>#N/A</f>
        <v>#N/A</v>
      </c>
      <c r="V32" s="2">
        <f>V25-V27-V28-V29-V30-V31</f>
        <v>154992</v>
      </c>
      <c r="W32" s="14" t="s">
        <v>13</v>
      </c>
      <c r="X32" s="2" t="e">
        <f>X25-X27-X28-X29-X30-X31</f>
        <v>#N/A</v>
      </c>
      <c r="Y32" s="2" t="e">
        <f>#N/A</f>
        <v>#N/A</v>
      </c>
      <c r="Z32" s="2" t="e">
        <f>#N/A</f>
        <v>#N/A</v>
      </c>
      <c r="AA32" s="2" t="e">
        <f>#N/A</f>
        <v>#N/A</v>
      </c>
      <c r="AB32" s="2" t="e">
        <f>#N/A</f>
        <v>#N/A</v>
      </c>
      <c r="AC32" s="2" t="e">
        <f>#N/A</f>
        <v>#N/A</v>
      </c>
      <c r="AD32" s="2" t="e">
        <f>#N/A</f>
        <v>#N/A</v>
      </c>
      <c r="AE32" s="2" t="e">
        <f>#N/A</f>
        <v>#N/A</v>
      </c>
      <c r="AF32" s="2" t="e">
        <f>#N/A</f>
        <v>#N/A</v>
      </c>
      <c r="AG32" s="14" t="s">
        <v>13</v>
      </c>
      <c r="AH32" s="2" t="e">
        <f>AH25-AH27-AH28-AH29-AH30-AH31</f>
        <v>#N/A</v>
      </c>
      <c r="AI32" s="2" t="e">
        <f>#N/A</f>
        <v>#N/A</v>
      </c>
      <c r="AJ32" s="2" t="e">
        <f>#N/A</f>
        <v>#N/A</v>
      </c>
      <c r="AK32" s="2" t="e">
        <f>#N/A</f>
        <v>#N/A</v>
      </c>
      <c r="AL32" s="2" t="e">
        <f>#N/A</f>
        <v>#N/A</v>
      </c>
      <c r="AM32" s="2" t="e">
        <f>#N/A</f>
        <v>#N/A</v>
      </c>
      <c r="AN32" s="2" t="e">
        <f>#N/A</f>
        <v>#N/A</v>
      </c>
      <c r="AO32" s="2" t="e">
        <f>#N/A</f>
        <v>#N/A</v>
      </c>
      <c r="AP32" s="14" t="s">
        <v>13</v>
      </c>
      <c r="AQ32" s="2" t="e">
        <f>#N/A</f>
        <v>#N/A</v>
      </c>
      <c r="AR32" s="2" t="e">
        <f>#N/A</f>
        <v>#N/A</v>
      </c>
      <c r="AS32" s="2" t="e">
        <f>#N/A</f>
        <v>#N/A</v>
      </c>
      <c r="AT32" s="2" t="e">
        <f>#N/A</f>
        <v>#N/A</v>
      </c>
      <c r="AU32" s="2" t="e">
        <f>#N/A</f>
        <v>#N/A</v>
      </c>
      <c r="AV32" s="2" t="e">
        <f>#N/A</f>
        <v>#N/A</v>
      </c>
    </row>
    <row r="33" spans="1:48" x14ac:dyDescent="0.25">
      <c r="AV33" s="2"/>
    </row>
    <row r="34" spans="1:48" x14ac:dyDescent="0.25">
      <c r="A34" t="s">
        <v>18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6" t="s">
        <v>22</v>
      </c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6" t="s">
        <v>22</v>
      </c>
      <c r="X34" s="15"/>
      <c r="Y34" s="15"/>
      <c r="Z34" s="15"/>
      <c r="AA34" s="15"/>
      <c r="AB34" s="15"/>
      <c r="AC34" s="15"/>
      <c r="AD34" s="15"/>
      <c r="AE34" s="15"/>
      <c r="AF34" s="15"/>
      <c r="AG34" s="16" t="s">
        <v>22</v>
      </c>
      <c r="AH34" s="15"/>
      <c r="AI34" s="15"/>
      <c r="AJ34" s="15"/>
      <c r="AK34" s="15"/>
      <c r="AL34" s="15"/>
      <c r="AM34" s="15"/>
      <c r="AN34" s="15"/>
      <c r="AO34" s="15"/>
      <c r="AP34" s="16" t="s">
        <v>22</v>
      </c>
      <c r="AQ34" s="15"/>
      <c r="AR34" s="15"/>
      <c r="AS34" s="15"/>
      <c r="AT34" s="15"/>
      <c r="AU34" s="15"/>
      <c r="AV34" s="15">
        <f>SUM(B34:AU34)</f>
        <v>0</v>
      </c>
    </row>
    <row r="35" spans="1:48" x14ac:dyDescent="0.25">
      <c r="A35" t="s">
        <v>19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6" t="s">
        <v>23</v>
      </c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6" t="s">
        <v>23</v>
      </c>
      <c r="X35" s="15"/>
      <c r="Y35" s="15"/>
      <c r="Z35" s="15"/>
      <c r="AA35" s="15"/>
      <c r="AB35" s="15"/>
      <c r="AC35" s="15"/>
      <c r="AD35" s="15"/>
      <c r="AE35" s="15"/>
      <c r="AF35" s="15"/>
      <c r="AG35" s="16" t="s">
        <v>23</v>
      </c>
      <c r="AH35" s="15"/>
      <c r="AI35" s="15"/>
      <c r="AJ35" s="15"/>
      <c r="AK35" s="15"/>
      <c r="AL35" s="15"/>
      <c r="AM35" s="15"/>
      <c r="AN35" s="15"/>
      <c r="AO35" s="15"/>
      <c r="AP35" s="16" t="s">
        <v>23</v>
      </c>
      <c r="AQ35" s="15"/>
      <c r="AR35" s="15"/>
      <c r="AS35" s="15"/>
      <c r="AT35" s="15"/>
      <c r="AU35" s="15"/>
      <c r="AV35" s="15">
        <f>SUM(B35:AU35)</f>
        <v>0</v>
      </c>
    </row>
    <row r="36" spans="1:48" x14ac:dyDescent="0.25">
      <c r="A36" s="9" t="s">
        <v>20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6" t="s">
        <v>24</v>
      </c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6" t="s">
        <v>24</v>
      </c>
      <c r="X36" s="15"/>
      <c r="Y36" s="15"/>
      <c r="Z36" s="15"/>
      <c r="AA36" s="15"/>
      <c r="AB36" s="15"/>
      <c r="AC36" s="15"/>
      <c r="AD36" s="15"/>
      <c r="AE36" s="15"/>
      <c r="AF36" s="15"/>
      <c r="AG36" s="16" t="s">
        <v>24</v>
      </c>
      <c r="AH36" s="15"/>
      <c r="AI36" s="15"/>
      <c r="AJ36" s="15"/>
      <c r="AK36" s="15"/>
      <c r="AL36" s="15"/>
      <c r="AM36" s="15"/>
      <c r="AN36" s="15"/>
      <c r="AO36" s="15"/>
      <c r="AP36" s="16" t="s">
        <v>24</v>
      </c>
      <c r="AQ36" s="15"/>
      <c r="AR36" s="15"/>
      <c r="AS36" s="15"/>
      <c r="AT36" s="15"/>
      <c r="AU36" s="15"/>
      <c r="AV36" s="15">
        <f>SUM(B36:AU36)</f>
        <v>0</v>
      </c>
    </row>
    <row r="37" spans="1:48" x14ac:dyDescent="0.25">
      <c r="A37" t="s">
        <v>21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6" t="s">
        <v>21</v>
      </c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6" t="s">
        <v>21</v>
      </c>
      <c r="X37" s="15"/>
      <c r="Y37" s="15"/>
      <c r="Z37" s="15"/>
      <c r="AA37" s="15"/>
      <c r="AB37" s="15"/>
      <c r="AC37" s="15"/>
      <c r="AD37" s="15"/>
      <c r="AE37" s="15"/>
      <c r="AF37" s="15"/>
      <c r="AG37" s="16" t="s">
        <v>21</v>
      </c>
      <c r="AH37" s="15"/>
      <c r="AI37" s="15"/>
      <c r="AJ37" s="15"/>
      <c r="AK37" s="15"/>
      <c r="AL37" s="15"/>
      <c r="AM37" s="15"/>
      <c r="AN37" s="15"/>
      <c r="AO37" s="15"/>
      <c r="AP37" s="16" t="s">
        <v>21</v>
      </c>
      <c r="AQ37" s="15"/>
      <c r="AR37" s="15"/>
      <c r="AS37" s="15"/>
      <c r="AT37" s="15"/>
      <c r="AU37" s="15"/>
      <c r="AV37" s="15">
        <f>SUM(B37:AT37)</f>
        <v>0</v>
      </c>
    </row>
    <row r="38" spans="1:48" x14ac:dyDescent="0.25">
      <c r="A38" t="s">
        <v>81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6" t="s">
        <v>81</v>
      </c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6" t="s">
        <v>81</v>
      </c>
      <c r="X38" s="15"/>
      <c r="Y38" s="15"/>
      <c r="Z38" s="15"/>
      <c r="AA38" s="15"/>
      <c r="AB38" s="15"/>
      <c r="AC38" s="15"/>
      <c r="AD38" s="15"/>
      <c r="AE38" s="15"/>
      <c r="AF38" s="15"/>
      <c r="AG38" s="16" t="s">
        <v>81</v>
      </c>
      <c r="AH38" s="15"/>
      <c r="AI38" s="15"/>
      <c r="AJ38" s="15"/>
      <c r="AK38" s="15"/>
      <c r="AL38" s="15"/>
      <c r="AM38" s="15"/>
      <c r="AN38" s="15"/>
      <c r="AO38" s="15"/>
      <c r="AP38" s="16" t="s">
        <v>81</v>
      </c>
      <c r="AQ38" s="15"/>
      <c r="AR38" s="15"/>
      <c r="AS38" s="15"/>
      <c r="AT38" s="15"/>
      <c r="AU38" s="15"/>
      <c r="AV38" s="15">
        <f>SUM(B38:AT38)</f>
        <v>0</v>
      </c>
    </row>
    <row r="39" spans="1:48" x14ac:dyDescent="0.25">
      <c r="A39" s="10" t="s">
        <v>82</v>
      </c>
      <c r="B39" s="17" t="e">
        <f>#N/A</f>
        <v>#N/A</v>
      </c>
      <c r="C39" s="17" t="e">
        <f>#N/A</f>
        <v>#N/A</v>
      </c>
      <c r="D39" s="17" t="e">
        <f>#N/A</f>
        <v>#N/A</v>
      </c>
      <c r="E39" s="17">
        <f>SUM(E32:E38)</f>
        <v>121582</v>
      </c>
      <c r="F39" s="17" t="e">
        <f>#N/A</f>
        <v>#N/A</v>
      </c>
      <c r="G39" s="17" t="e">
        <f>#N/A</f>
        <v>#N/A</v>
      </c>
      <c r="H39" s="17" t="e">
        <f>#N/A</f>
        <v>#N/A</v>
      </c>
      <c r="I39" s="17" t="e">
        <f>#N/A</f>
        <v>#N/A</v>
      </c>
      <c r="J39" s="17">
        <f>SUM(J32:J38)</f>
        <v>57272</v>
      </c>
      <c r="K39" s="17">
        <f>SUM(K32:K38)</f>
        <v>-642248</v>
      </c>
      <c r="L39" s="18" t="s">
        <v>83</v>
      </c>
      <c r="M39" s="17" t="e">
        <f>#N/A</f>
        <v>#N/A</v>
      </c>
      <c r="N39" s="17">
        <f>SUM(N32:N38)</f>
        <v>196970</v>
      </c>
      <c r="O39" s="17" t="e">
        <f>#N/A</f>
        <v>#N/A</v>
      </c>
      <c r="P39" s="17" t="e">
        <f>#N/A</f>
        <v>#N/A</v>
      </c>
      <c r="Q39" s="17">
        <f>SUM(Q32:Q38)</f>
        <v>783067</v>
      </c>
      <c r="R39" s="17" t="e">
        <f>#N/A</f>
        <v>#N/A</v>
      </c>
      <c r="S39" s="17" t="e">
        <f>SUM(S32:S38)</f>
        <v>#N/A</v>
      </c>
      <c r="T39" s="17">
        <f>SUM(T32:T38)</f>
        <v>633906</v>
      </c>
      <c r="U39" s="17" t="e">
        <f>#N/A</f>
        <v>#N/A</v>
      </c>
      <c r="V39" s="17">
        <f>SUM(V32:V38)</f>
        <v>154992</v>
      </c>
      <c r="W39" s="18" t="s">
        <v>83</v>
      </c>
      <c r="X39" s="17" t="e">
        <f>SUM(X32:X38)</f>
        <v>#N/A</v>
      </c>
      <c r="Y39" s="17" t="e">
        <f>#N/A</f>
        <v>#N/A</v>
      </c>
      <c r="Z39" s="17" t="e">
        <f>#N/A</f>
        <v>#N/A</v>
      </c>
      <c r="AA39" s="17" t="e">
        <f>#N/A</f>
        <v>#N/A</v>
      </c>
      <c r="AB39" s="17" t="e">
        <f>#N/A</f>
        <v>#N/A</v>
      </c>
      <c r="AC39" s="17" t="e">
        <f>#N/A</f>
        <v>#N/A</v>
      </c>
      <c r="AD39" s="17" t="e">
        <f>#N/A</f>
        <v>#N/A</v>
      </c>
      <c r="AE39" s="17" t="e">
        <f>#N/A</f>
        <v>#N/A</v>
      </c>
      <c r="AF39" s="17" t="e">
        <f>#N/A</f>
        <v>#N/A</v>
      </c>
      <c r="AG39" s="18" t="s">
        <v>83</v>
      </c>
      <c r="AH39" s="17" t="e">
        <f>SUM(AH32:AH38)</f>
        <v>#N/A</v>
      </c>
      <c r="AI39" s="17" t="e">
        <f>#N/A</f>
        <v>#N/A</v>
      </c>
      <c r="AJ39" s="17" t="e">
        <f>#N/A</f>
        <v>#N/A</v>
      </c>
      <c r="AK39" s="17" t="e">
        <f>#N/A</f>
        <v>#N/A</v>
      </c>
      <c r="AL39" s="17" t="e">
        <f>#N/A</f>
        <v>#N/A</v>
      </c>
      <c r="AM39" s="17" t="e">
        <f>#N/A</f>
        <v>#N/A</v>
      </c>
      <c r="AN39" s="17" t="e">
        <f>#N/A</f>
        <v>#N/A</v>
      </c>
      <c r="AO39" s="17" t="e">
        <f>#N/A</f>
        <v>#N/A</v>
      </c>
      <c r="AP39" s="18" t="s">
        <v>84</v>
      </c>
      <c r="AQ39" s="17" t="e">
        <f>#N/A</f>
        <v>#N/A</v>
      </c>
      <c r="AR39" s="17" t="e">
        <f>#N/A</f>
        <v>#N/A</v>
      </c>
      <c r="AS39" s="17" t="e">
        <f>#N/A</f>
        <v>#N/A</v>
      </c>
      <c r="AT39" s="17" t="e">
        <f>#N/A</f>
        <v>#N/A</v>
      </c>
      <c r="AU39" s="17" t="e">
        <f>#N/A</f>
        <v>#N/A</v>
      </c>
      <c r="AV39" s="17" t="e">
        <f>#N/A</f>
        <v>#N/A</v>
      </c>
    </row>
    <row r="40" spans="1:48" x14ac:dyDescent="0.25">
      <c r="J40" s="2"/>
      <c r="U40" s="2"/>
    </row>
    <row r="41" spans="1:48" x14ac:dyDescent="0.25">
      <c r="J41" s="2"/>
      <c r="U41" s="2"/>
    </row>
    <row r="42" spans="1:48" x14ac:dyDescent="0.25">
      <c r="A42" s="1"/>
    </row>
    <row r="48" spans="1:48" x14ac:dyDescent="0.25">
      <c r="A48" s="1"/>
    </row>
    <row r="55" spans="1:1" x14ac:dyDescent="0.25">
      <c r="A55" s="1"/>
    </row>
    <row r="57" spans="1:1" x14ac:dyDescent="0.25">
      <c r="A57" s="1"/>
    </row>
    <row r="59" spans="1:1" x14ac:dyDescent="0.25">
      <c r="A59" s="1"/>
    </row>
  </sheetData>
  <customSheetViews>
    <customSheetView guid="{787CEAB0-B665-4DDC-B6D5-0EF4B4179B2C}" topLeftCell="AA1">
      <selection activeCell="AN1" sqref="AN1"/>
      <pageMargins left="0.2" right="0.28000000000000003" top="0.79" bottom="0.5" header="0.5" footer="0.26"/>
      <printOptions gridLines="1"/>
      <pageSetup orientation="landscape" horizontalDpi="300" verticalDpi="300" r:id="rId1"/>
      <headerFooter alignWithMargins="0">
        <oddHeader>&amp;C&amp;A&amp;R&amp;D</oddHeader>
        <oddFooter>&amp;Lh:grain/hvstls.xls&amp;CPage &amp;P&amp;R&amp;F</oddFooter>
      </headerFooter>
    </customSheetView>
    <customSheetView guid="{32FA922B-D311-4A17-9E95-50C57C186216}" topLeftCell="AA1">
      <selection activeCell="AN1" sqref="AN1"/>
      <pageMargins left="0.2" right="0.28000000000000003" top="0.79" bottom="0.5" header="0.5" footer="0.26"/>
      <printOptions gridLines="1"/>
      <pageSetup orientation="landscape" horizontalDpi="300" verticalDpi="300" r:id="rId2"/>
      <headerFooter alignWithMargins="0">
        <oddHeader>&amp;C&amp;A&amp;R&amp;D</oddHeader>
        <oddFooter>&amp;Lh:grain/hvstls.xls&amp;CPage &amp;P&amp;R&amp;F</oddFooter>
      </headerFooter>
    </customSheetView>
    <customSheetView guid="{AD1DD6D4-9126-4937-AE78-38B0663E3739}" topLeftCell="AA1">
      <selection activeCell="AN1" sqref="AN1"/>
      <pageMargins left="0.2" right="0.28000000000000003" top="0.79" bottom="0.5" header="0.5" footer="0.26"/>
      <printOptions gridLines="1"/>
      <pageSetup orientation="landscape" horizontalDpi="300" verticalDpi="300" r:id="rId3"/>
      <headerFooter alignWithMargins="0">
        <oddHeader>&amp;C&amp;A&amp;R&amp;D</oddHeader>
        <oddFooter>&amp;Lh:grain/hvstls.xls&amp;CPage &amp;P&amp;R&amp;F</oddFooter>
      </headerFooter>
    </customSheetView>
    <customSheetView guid="{007B44AF-685B-4B37-9750-B07A99A25CF6}">
      <pageMargins left="0.2" right="0.28000000000000003" top="0.79" bottom="0.5" header="0.5" footer="0.26"/>
      <printOptions gridLines="1"/>
      <pageSetup orientation="landscape" horizontalDpi="300" verticalDpi="300" r:id="rId4"/>
      <headerFooter alignWithMargins="0">
        <oddHeader>&amp;C&amp;A&amp;R&amp;D</oddHeader>
        <oddFooter>&amp;Lh:grain/hvstls.xls&amp;CPage &amp;P&amp;R&amp;F</oddFooter>
      </headerFooter>
    </customSheetView>
    <customSheetView guid="{AA02AC12-6E1B-4019-BD01-AFF4D21A6ABD}" topLeftCell="AA1">
      <selection activeCell="AN1" sqref="AN1"/>
      <pageMargins left="0.2" right="0.28000000000000003" top="0.79" bottom="0.5" header="0.5" footer="0.26"/>
      <printOptions gridLines="1"/>
      <pageSetup orientation="landscape" horizontalDpi="300" verticalDpi="300" r:id="rId5"/>
      <headerFooter alignWithMargins="0">
        <oddHeader>&amp;C&amp;A&amp;R&amp;D</oddHeader>
        <oddFooter>&amp;Lh:grain/hvstls.xls&amp;CPage &amp;P&amp;R&amp;F</oddFooter>
      </headerFooter>
    </customSheetView>
    <customSheetView guid="{B148F6D0-D380-41BC-8CCF-9098DBC3211F}" topLeftCell="AA1">
      <selection activeCell="AN1" sqref="AN1"/>
      <pageMargins left="0.2" right="0.28000000000000003" top="0.79" bottom="0.5" header="0.5" footer="0.26"/>
      <printOptions gridLines="1"/>
      <pageSetup orientation="landscape" horizontalDpi="300" verticalDpi="300" r:id="rId6"/>
      <headerFooter alignWithMargins="0">
        <oddHeader>&amp;C&amp;A&amp;R&amp;D</oddHeader>
        <oddFooter>&amp;Lh:grain/hvstls.xls&amp;CPage &amp;P&amp;R&amp;F</oddFooter>
      </headerFooter>
    </customSheetView>
    <customSheetView guid="{A6685E51-6E0B-411A-8D94-6874F1684A20}" topLeftCell="AA1">
      <selection activeCell="AN1" sqref="AN1"/>
      <pageMargins left="0.2" right="0.28000000000000003" top="0.79" bottom="0.5" header="0.5" footer="0.26"/>
      <printOptions gridLines="1"/>
      <pageSetup orientation="landscape" horizontalDpi="300" verticalDpi="300" r:id="rId7"/>
      <headerFooter alignWithMargins="0">
        <oddHeader>&amp;C&amp;A&amp;R&amp;D</oddHeader>
        <oddFooter>&amp;Lh:grain/hvstls.xls&amp;CPage &amp;P&amp;R&amp;F</oddFooter>
      </headerFooter>
    </customSheetView>
  </customSheetViews>
  <phoneticPr fontId="0" type="noConversion"/>
  <printOptions gridLines="1" gridLinesSet="0"/>
  <pageMargins left="0.2" right="0.28000000000000003" top="0.79" bottom="0.5" header="0.5" footer="0.26"/>
  <pageSetup orientation="landscape" horizontalDpi="300" verticalDpi="300" r:id="rId8"/>
  <headerFooter alignWithMargins="0">
    <oddHeader>&amp;C&amp;A&amp;R&amp;D</oddHeader>
    <oddFooter>&amp;Lh:grain/hvstls.xls&amp;CPage &amp;P&amp;R&amp;F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4182"/>
  <sheetViews>
    <sheetView topLeftCell="A25" workbookViewId="0">
      <selection activeCell="G13" sqref="G13"/>
    </sheetView>
  </sheetViews>
  <sheetFormatPr defaultColWidth="9.109375" defaultRowHeight="13.2" x14ac:dyDescent="0.25"/>
  <cols>
    <col min="1" max="1" width="17.88671875" style="60" customWidth="1"/>
    <col min="2" max="2" width="18.88671875" style="60" customWidth="1"/>
    <col min="3" max="3" width="15" style="60" customWidth="1"/>
    <col min="4" max="4" width="10" style="60" customWidth="1"/>
    <col min="5" max="5" width="10.5546875" style="60" customWidth="1"/>
    <col min="6" max="6" width="20.33203125" style="60" customWidth="1"/>
    <col min="7" max="12" width="21.109375" style="60" customWidth="1"/>
    <col min="13" max="24" width="21.109375" style="60" bestFit="1" customWidth="1"/>
    <col min="25" max="25" width="11" style="60" bestFit="1" customWidth="1"/>
    <col min="26" max="16384" width="9.109375" style="60"/>
  </cols>
  <sheetData>
    <row r="1" spans="1:25" x14ac:dyDescent="0.25">
      <c r="A1" s="59" t="s">
        <v>123</v>
      </c>
      <c r="B1" s="59" t="s">
        <v>124</v>
      </c>
      <c r="C1" s="59" t="s">
        <v>125</v>
      </c>
      <c r="D1" s="59" t="s">
        <v>227</v>
      </c>
      <c r="E1" s="59" t="s">
        <v>126</v>
      </c>
      <c r="F1" s="146" t="s">
        <v>127</v>
      </c>
      <c r="G1" s="146" t="s">
        <v>124</v>
      </c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8"/>
    </row>
    <row r="2" spans="1:25" x14ac:dyDescent="0.25">
      <c r="A2" s="60">
        <v>1</v>
      </c>
      <c r="B2" s="60" t="s">
        <v>117</v>
      </c>
      <c r="C2" s="60">
        <v>1</v>
      </c>
      <c r="D2" s="60">
        <v>0</v>
      </c>
      <c r="E2" s="60">
        <f t="shared" ref="E2:E65" si="0">IF(C2&lt;100,D2,D2*-1)</f>
        <v>0</v>
      </c>
      <c r="F2" s="146" t="s">
        <v>123</v>
      </c>
      <c r="G2" s="149" t="s">
        <v>117</v>
      </c>
      <c r="H2" s="150" t="s">
        <v>118</v>
      </c>
      <c r="I2" s="150" t="s">
        <v>119</v>
      </c>
      <c r="J2" s="150" t="s">
        <v>120</v>
      </c>
      <c r="K2" s="150" t="s">
        <v>121</v>
      </c>
      <c r="L2" s="150">
        <v>30098</v>
      </c>
      <c r="M2" s="150">
        <v>24896</v>
      </c>
      <c r="N2" s="150">
        <v>24828</v>
      </c>
      <c r="O2" s="150">
        <v>1007</v>
      </c>
      <c r="P2" s="150">
        <v>24483</v>
      </c>
      <c r="Q2" s="150">
        <v>26161</v>
      </c>
      <c r="R2" s="150">
        <v>21626</v>
      </c>
      <c r="S2" s="150">
        <v>30323</v>
      </c>
      <c r="T2" s="150">
        <v>2386</v>
      </c>
      <c r="U2" s="150" t="s">
        <v>226</v>
      </c>
      <c r="V2" s="150">
        <v>24775</v>
      </c>
      <c r="W2" s="150">
        <v>30030</v>
      </c>
      <c r="X2" s="150" t="s">
        <v>1</v>
      </c>
      <c r="Y2" s="151" t="s">
        <v>122</v>
      </c>
    </row>
    <row r="3" spans="1:25" x14ac:dyDescent="0.25">
      <c r="A3" s="60">
        <v>1</v>
      </c>
      <c r="B3" s="60" t="s">
        <v>117</v>
      </c>
      <c r="C3" s="60">
        <v>10</v>
      </c>
      <c r="D3" s="60">
        <v>0</v>
      </c>
      <c r="E3" s="60">
        <f t="shared" si="0"/>
        <v>0</v>
      </c>
      <c r="F3" s="149">
        <v>1</v>
      </c>
      <c r="G3" s="152">
        <v>0</v>
      </c>
      <c r="H3" s="153">
        <v>0</v>
      </c>
      <c r="I3" s="153">
        <v>0</v>
      </c>
      <c r="J3" s="153">
        <v>0</v>
      </c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4">
        <v>0</v>
      </c>
    </row>
    <row r="4" spans="1:25" x14ac:dyDescent="0.25">
      <c r="A4" s="60">
        <v>1</v>
      </c>
      <c r="B4" s="60" t="s">
        <v>117</v>
      </c>
      <c r="C4" s="60">
        <v>30</v>
      </c>
      <c r="D4" s="60">
        <v>0</v>
      </c>
      <c r="E4" s="60">
        <f t="shared" si="0"/>
        <v>0</v>
      </c>
      <c r="F4" s="155">
        <v>9</v>
      </c>
      <c r="G4" s="156"/>
      <c r="H4" s="157"/>
      <c r="I4" s="157">
        <v>0</v>
      </c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8">
        <v>0</v>
      </c>
    </row>
    <row r="5" spans="1:25" x14ac:dyDescent="0.25">
      <c r="A5" s="60">
        <v>1</v>
      </c>
      <c r="B5" s="60" t="s">
        <v>117</v>
      </c>
      <c r="C5" s="60">
        <v>110</v>
      </c>
      <c r="D5" s="60">
        <v>0</v>
      </c>
      <c r="E5" s="60">
        <f t="shared" si="0"/>
        <v>0</v>
      </c>
      <c r="F5" s="155">
        <v>10</v>
      </c>
      <c r="G5" s="156"/>
      <c r="H5" s="157">
        <v>0</v>
      </c>
      <c r="I5" s="157"/>
      <c r="J5" s="157">
        <v>0</v>
      </c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8">
        <v>0</v>
      </c>
    </row>
    <row r="6" spans="1:25" x14ac:dyDescent="0.25">
      <c r="A6" s="60">
        <v>1</v>
      </c>
      <c r="B6" s="60" t="s">
        <v>117</v>
      </c>
      <c r="C6" s="60">
        <v>210</v>
      </c>
      <c r="D6" s="60">
        <v>0</v>
      </c>
      <c r="E6" s="60">
        <f t="shared" si="0"/>
        <v>0</v>
      </c>
      <c r="F6" s="155">
        <v>11</v>
      </c>
      <c r="G6" s="156">
        <v>7787066</v>
      </c>
      <c r="H6" s="157">
        <v>707608</v>
      </c>
      <c r="I6" s="157">
        <v>15602254</v>
      </c>
      <c r="J6" s="157">
        <v>15060140</v>
      </c>
      <c r="K6" s="157">
        <v>0</v>
      </c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8">
        <v>39157068</v>
      </c>
    </row>
    <row r="7" spans="1:25" x14ac:dyDescent="0.25">
      <c r="A7" s="60">
        <v>1</v>
      </c>
      <c r="B7" s="60" t="s">
        <v>118</v>
      </c>
      <c r="C7" s="60">
        <v>10</v>
      </c>
      <c r="D7" s="60">
        <v>0</v>
      </c>
      <c r="E7" s="60">
        <f t="shared" si="0"/>
        <v>0</v>
      </c>
      <c r="F7" s="155">
        <v>21</v>
      </c>
      <c r="G7" s="156">
        <v>12381977</v>
      </c>
      <c r="H7" s="157">
        <v>1546218</v>
      </c>
      <c r="I7" s="157">
        <v>6314620</v>
      </c>
      <c r="J7" s="157">
        <v>8766306</v>
      </c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8">
        <v>29009121</v>
      </c>
    </row>
    <row r="8" spans="1:25" x14ac:dyDescent="0.25">
      <c r="A8" s="60">
        <v>1</v>
      </c>
      <c r="B8" s="60" t="s">
        <v>118</v>
      </c>
      <c r="C8" s="60">
        <v>110</v>
      </c>
      <c r="D8" s="60">
        <v>0</v>
      </c>
      <c r="E8" s="60">
        <f t="shared" si="0"/>
        <v>0</v>
      </c>
      <c r="F8" s="155">
        <v>31</v>
      </c>
      <c r="G8" s="156">
        <v>92459782</v>
      </c>
      <c r="H8" s="157">
        <v>9187689</v>
      </c>
      <c r="I8" s="157">
        <v>48050719</v>
      </c>
      <c r="J8" s="157">
        <v>10680690</v>
      </c>
      <c r="K8" s="157">
        <v>0</v>
      </c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8">
        <v>160378880</v>
      </c>
    </row>
    <row r="9" spans="1:25" x14ac:dyDescent="0.25">
      <c r="A9" s="60">
        <v>1</v>
      </c>
      <c r="B9" s="60" t="s">
        <v>118</v>
      </c>
      <c r="C9" s="60">
        <v>210</v>
      </c>
      <c r="D9" s="60">
        <v>0</v>
      </c>
      <c r="E9" s="60">
        <f t="shared" si="0"/>
        <v>0</v>
      </c>
      <c r="F9" s="155">
        <v>41</v>
      </c>
      <c r="G9" s="156">
        <v>0</v>
      </c>
      <c r="H9" s="157">
        <v>0</v>
      </c>
      <c r="I9" s="157"/>
      <c r="J9" s="157">
        <v>0</v>
      </c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8">
        <v>0</v>
      </c>
    </row>
    <row r="10" spans="1:25" x14ac:dyDescent="0.25">
      <c r="A10" s="60">
        <v>1</v>
      </c>
      <c r="B10" s="60" t="s">
        <v>118</v>
      </c>
      <c r="C10" s="60">
        <v>230</v>
      </c>
      <c r="D10" s="60">
        <v>0</v>
      </c>
      <c r="E10" s="60">
        <f t="shared" si="0"/>
        <v>0</v>
      </c>
      <c r="F10" s="155">
        <v>61</v>
      </c>
      <c r="G10" s="156">
        <v>1752379</v>
      </c>
      <c r="H10" s="157">
        <v>0</v>
      </c>
      <c r="I10" s="157">
        <v>25820541</v>
      </c>
      <c r="J10" s="157">
        <v>1470678</v>
      </c>
      <c r="K10" s="157">
        <v>-10642</v>
      </c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8">
        <v>29032956</v>
      </c>
    </row>
    <row r="11" spans="1:25" x14ac:dyDescent="0.25">
      <c r="A11" s="60">
        <v>1</v>
      </c>
      <c r="B11" s="60" t="s">
        <v>119</v>
      </c>
      <c r="C11" s="60">
        <v>110</v>
      </c>
      <c r="D11" s="60">
        <v>0</v>
      </c>
      <c r="E11" s="60">
        <f t="shared" si="0"/>
        <v>0</v>
      </c>
      <c r="F11" s="155">
        <v>71</v>
      </c>
      <c r="G11" s="156">
        <v>16244207</v>
      </c>
      <c r="H11" s="157">
        <v>1238434</v>
      </c>
      <c r="I11" s="157">
        <v>7725295</v>
      </c>
      <c r="J11" s="157">
        <v>26169868</v>
      </c>
      <c r="K11" s="157">
        <v>0</v>
      </c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8">
        <v>51377804</v>
      </c>
    </row>
    <row r="12" spans="1:25" x14ac:dyDescent="0.25">
      <c r="A12" s="60">
        <v>1</v>
      </c>
      <c r="B12" s="60" t="s">
        <v>119</v>
      </c>
      <c r="C12" s="60">
        <v>240</v>
      </c>
      <c r="D12" s="60">
        <v>0</v>
      </c>
      <c r="E12" s="60">
        <f t="shared" si="0"/>
        <v>0</v>
      </c>
      <c r="F12" s="155">
        <v>81</v>
      </c>
      <c r="G12" s="156">
        <v>3201265</v>
      </c>
      <c r="H12" s="157">
        <v>0</v>
      </c>
      <c r="I12" s="157">
        <v>0</v>
      </c>
      <c r="J12" s="157">
        <v>0</v>
      </c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8">
        <v>3201265</v>
      </c>
    </row>
    <row r="13" spans="1:25" x14ac:dyDescent="0.25">
      <c r="A13" s="60">
        <v>1</v>
      </c>
      <c r="B13" s="60" t="s">
        <v>120</v>
      </c>
      <c r="C13" s="60">
        <v>1</v>
      </c>
      <c r="D13" s="60">
        <v>0</v>
      </c>
      <c r="E13" s="60">
        <f t="shared" si="0"/>
        <v>0</v>
      </c>
      <c r="F13" s="155">
        <v>91</v>
      </c>
      <c r="G13" s="156">
        <v>22806525</v>
      </c>
      <c r="H13" s="157">
        <v>-4492</v>
      </c>
      <c r="I13" s="157">
        <v>7801019</v>
      </c>
      <c r="J13" s="157">
        <v>0</v>
      </c>
      <c r="K13" s="157">
        <v>0</v>
      </c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8">
        <v>30603052</v>
      </c>
    </row>
    <row r="14" spans="1:25" x14ac:dyDescent="0.25">
      <c r="A14" s="60">
        <v>1</v>
      </c>
      <c r="B14" s="60" t="s">
        <v>120</v>
      </c>
      <c r="C14" s="60">
        <v>10</v>
      </c>
      <c r="D14" s="60">
        <v>0</v>
      </c>
      <c r="E14" s="60">
        <f t="shared" si="0"/>
        <v>0</v>
      </c>
      <c r="F14" s="155">
        <v>101</v>
      </c>
      <c r="G14" s="156">
        <v>7028420</v>
      </c>
      <c r="H14" s="157">
        <v>0</v>
      </c>
      <c r="I14" s="157">
        <v>0</v>
      </c>
      <c r="J14" s="157">
        <v>0</v>
      </c>
      <c r="K14" s="157">
        <v>0</v>
      </c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8">
        <v>7028420</v>
      </c>
    </row>
    <row r="15" spans="1:25" x14ac:dyDescent="0.25">
      <c r="A15" s="60">
        <v>1</v>
      </c>
      <c r="B15" s="60" t="s">
        <v>120</v>
      </c>
      <c r="C15" s="60">
        <v>30</v>
      </c>
      <c r="D15" s="60">
        <v>0</v>
      </c>
      <c r="E15" s="60">
        <f t="shared" si="0"/>
        <v>0</v>
      </c>
      <c r="F15" s="155">
        <v>111</v>
      </c>
      <c r="G15" s="156">
        <v>848028</v>
      </c>
      <c r="H15" s="157">
        <v>4118883</v>
      </c>
      <c r="I15" s="157">
        <v>1466305</v>
      </c>
      <c r="J15" s="157">
        <v>12497598</v>
      </c>
      <c r="K15" s="157">
        <v>0</v>
      </c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8">
        <v>18930814</v>
      </c>
    </row>
    <row r="16" spans="1:25" x14ac:dyDescent="0.25">
      <c r="A16" s="60">
        <v>1</v>
      </c>
      <c r="B16" s="60" t="s">
        <v>120</v>
      </c>
      <c r="C16" s="60">
        <v>110</v>
      </c>
      <c r="D16" s="60">
        <v>0</v>
      </c>
      <c r="E16" s="60">
        <f t="shared" si="0"/>
        <v>0</v>
      </c>
      <c r="F16" s="155">
        <v>121</v>
      </c>
      <c r="G16" s="156">
        <v>0</v>
      </c>
      <c r="H16" s="157">
        <v>0</v>
      </c>
      <c r="I16" s="157">
        <v>0</v>
      </c>
      <c r="J16" s="157">
        <v>0</v>
      </c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8">
        <v>0</v>
      </c>
    </row>
    <row r="17" spans="1:25" x14ac:dyDescent="0.25">
      <c r="A17" s="60">
        <v>1</v>
      </c>
      <c r="B17" s="60" t="s">
        <v>120</v>
      </c>
      <c r="C17" s="60">
        <v>210</v>
      </c>
      <c r="D17" s="60">
        <v>0</v>
      </c>
      <c r="E17" s="60">
        <f t="shared" si="0"/>
        <v>0</v>
      </c>
      <c r="F17" s="155">
        <v>131</v>
      </c>
      <c r="G17" s="156">
        <v>12441192</v>
      </c>
      <c r="H17" s="157">
        <v>0</v>
      </c>
      <c r="I17" s="157">
        <v>0</v>
      </c>
      <c r="J17" s="157">
        <v>0</v>
      </c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8">
        <v>12441192</v>
      </c>
    </row>
    <row r="18" spans="1:25" x14ac:dyDescent="0.25">
      <c r="A18" s="60">
        <v>1</v>
      </c>
      <c r="B18" s="60" t="s">
        <v>120</v>
      </c>
      <c r="C18" s="60">
        <v>230</v>
      </c>
      <c r="D18" s="60">
        <v>0</v>
      </c>
      <c r="E18" s="60">
        <f t="shared" si="0"/>
        <v>0</v>
      </c>
      <c r="F18" s="155">
        <v>141</v>
      </c>
      <c r="G18" s="156">
        <v>7505755</v>
      </c>
      <c r="H18" s="157"/>
      <c r="I18" s="157"/>
      <c r="J18" s="157">
        <v>0</v>
      </c>
      <c r="K18" s="157">
        <v>0</v>
      </c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8">
        <v>7505755</v>
      </c>
    </row>
    <row r="19" spans="1:25" x14ac:dyDescent="0.25">
      <c r="A19" s="60">
        <v>1</v>
      </c>
      <c r="B19" s="60" t="s">
        <v>120</v>
      </c>
      <c r="C19" s="60">
        <v>240</v>
      </c>
      <c r="D19" s="60">
        <v>0</v>
      </c>
      <c r="E19" s="60">
        <f t="shared" si="0"/>
        <v>0</v>
      </c>
      <c r="F19" s="155">
        <v>151</v>
      </c>
      <c r="G19" s="156">
        <v>5524457</v>
      </c>
      <c r="H19" s="157">
        <v>0</v>
      </c>
      <c r="I19" s="157">
        <v>0</v>
      </c>
      <c r="J19" s="157">
        <v>0</v>
      </c>
      <c r="K19" s="157">
        <v>0</v>
      </c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8">
        <v>5524457</v>
      </c>
    </row>
    <row r="20" spans="1:25" x14ac:dyDescent="0.25">
      <c r="A20" s="60">
        <v>9</v>
      </c>
      <c r="B20" s="60" t="s">
        <v>119</v>
      </c>
      <c r="C20" s="60">
        <v>270</v>
      </c>
      <c r="D20" s="60">
        <v>0</v>
      </c>
      <c r="E20" s="60">
        <f t="shared" si="0"/>
        <v>0</v>
      </c>
      <c r="F20" s="155">
        <v>161</v>
      </c>
      <c r="G20" s="156">
        <v>21358996</v>
      </c>
      <c r="H20" s="157">
        <v>0</v>
      </c>
      <c r="I20" s="157">
        <v>0</v>
      </c>
      <c r="J20" s="157">
        <v>0</v>
      </c>
      <c r="K20" s="157">
        <v>0</v>
      </c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8">
        <v>21358996</v>
      </c>
    </row>
    <row r="21" spans="1:25" x14ac:dyDescent="0.25">
      <c r="A21" s="60">
        <v>10</v>
      </c>
      <c r="B21" s="60" t="s">
        <v>118</v>
      </c>
      <c r="C21" s="60">
        <v>150</v>
      </c>
      <c r="D21" s="60">
        <v>0</v>
      </c>
      <c r="E21" s="60">
        <f t="shared" si="0"/>
        <v>0</v>
      </c>
      <c r="F21" s="155">
        <v>171</v>
      </c>
      <c r="G21" s="156">
        <v>29546031</v>
      </c>
      <c r="H21" s="157">
        <v>0</v>
      </c>
      <c r="I21" s="157">
        <v>0</v>
      </c>
      <c r="J21" s="157">
        <v>0</v>
      </c>
      <c r="K21" s="157">
        <v>0</v>
      </c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8">
        <v>29546031</v>
      </c>
    </row>
    <row r="22" spans="1:25" x14ac:dyDescent="0.25">
      <c r="A22" s="60">
        <v>10</v>
      </c>
      <c r="B22" s="60" t="s">
        <v>120</v>
      </c>
      <c r="C22" s="60">
        <v>150</v>
      </c>
      <c r="D22" s="60">
        <v>0</v>
      </c>
      <c r="E22" s="60">
        <f t="shared" si="0"/>
        <v>0</v>
      </c>
      <c r="F22" s="155">
        <v>181</v>
      </c>
      <c r="G22" s="156">
        <v>12020334</v>
      </c>
      <c r="H22" s="157">
        <v>0</v>
      </c>
      <c r="I22" s="157">
        <v>0</v>
      </c>
      <c r="J22" s="157">
        <v>0</v>
      </c>
      <c r="K22" s="157">
        <v>0</v>
      </c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8">
        <v>12020334</v>
      </c>
    </row>
    <row r="23" spans="1:25" x14ac:dyDescent="0.25">
      <c r="A23" s="60">
        <v>10</v>
      </c>
      <c r="B23" s="60" t="s">
        <v>120</v>
      </c>
      <c r="C23" s="60">
        <v>200</v>
      </c>
      <c r="D23" s="60">
        <v>0</v>
      </c>
      <c r="E23" s="60">
        <f t="shared" si="0"/>
        <v>0</v>
      </c>
      <c r="F23" s="155">
        <v>182</v>
      </c>
      <c r="G23" s="156">
        <v>19908100</v>
      </c>
      <c r="H23" s="157">
        <v>0</v>
      </c>
      <c r="I23" s="157">
        <v>0</v>
      </c>
      <c r="J23" s="157">
        <v>0</v>
      </c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8">
        <v>19908100</v>
      </c>
    </row>
    <row r="24" spans="1:25" x14ac:dyDescent="0.25">
      <c r="A24" s="60">
        <v>11</v>
      </c>
      <c r="B24" s="60" t="s">
        <v>117</v>
      </c>
      <c r="C24" s="60">
        <v>1</v>
      </c>
      <c r="D24" s="60">
        <v>495955</v>
      </c>
      <c r="E24" s="60">
        <f t="shared" si="0"/>
        <v>495955</v>
      </c>
      <c r="F24" s="155">
        <v>183</v>
      </c>
      <c r="G24" s="156">
        <v>3284523</v>
      </c>
      <c r="H24" s="157">
        <v>545861</v>
      </c>
      <c r="I24" s="157">
        <v>0</v>
      </c>
      <c r="J24" s="157">
        <v>3990689</v>
      </c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8">
        <v>7821073</v>
      </c>
    </row>
    <row r="25" spans="1:25" x14ac:dyDescent="0.25">
      <c r="A25" s="60">
        <v>11</v>
      </c>
      <c r="B25" s="60" t="s">
        <v>117</v>
      </c>
      <c r="C25" s="60">
        <v>10</v>
      </c>
      <c r="D25" s="60">
        <v>77938980</v>
      </c>
      <c r="E25" s="60">
        <f t="shared" si="0"/>
        <v>77938980</v>
      </c>
      <c r="F25" s="155">
        <v>185</v>
      </c>
      <c r="G25" s="156">
        <v>32776776</v>
      </c>
      <c r="H25" s="157">
        <v>0</v>
      </c>
      <c r="I25" s="157">
        <v>0</v>
      </c>
      <c r="J25" s="157">
        <v>0</v>
      </c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8">
        <v>32776776</v>
      </c>
    </row>
    <row r="26" spans="1:25" x14ac:dyDescent="0.25">
      <c r="A26" s="60">
        <v>11</v>
      </c>
      <c r="B26" s="60" t="s">
        <v>117</v>
      </c>
      <c r="C26" s="60">
        <v>20</v>
      </c>
      <c r="D26" s="60">
        <v>0</v>
      </c>
      <c r="E26" s="60">
        <f t="shared" si="0"/>
        <v>0</v>
      </c>
      <c r="F26" s="155">
        <v>191</v>
      </c>
      <c r="G26" s="156">
        <v>26037248</v>
      </c>
      <c r="H26" s="157">
        <v>0</v>
      </c>
      <c r="I26" s="157">
        <v>13909288</v>
      </c>
      <c r="J26" s="157">
        <v>12167972</v>
      </c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8">
        <v>52114508</v>
      </c>
    </row>
    <row r="27" spans="1:25" x14ac:dyDescent="0.25">
      <c r="A27" s="60">
        <v>11</v>
      </c>
      <c r="B27" s="60" t="s">
        <v>117</v>
      </c>
      <c r="C27" s="60">
        <v>50</v>
      </c>
      <c r="D27" s="60">
        <v>367720</v>
      </c>
      <c r="E27" s="60">
        <f t="shared" si="0"/>
        <v>367720</v>
      </c>
      <c r="F27" s="155">
        <v>201</v>
      </c>
      <c r="G27" s="156">
        <v>0</v>
      </c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8">
        <v>0</v>
      </c>
    </row>
    <row r="28" spans="1:25" x14ac:dyDescent="0.25">
      <c r="A28" s="60">
        <v>11</v>
      </c>
      <c r="B28" s="60" t="s">
        <v>117</v>
      </c>
      <c r="C28" s="60">
        <v>60</v>
      </c>
      <c r="D28" s="60">
        <v>0</v>
      </c>
      <c r="E28" s="60">
        <f t="shared" si="0"/>
        <v>0</v>
      </c>
      <c r="F28" s="155">
        <v>205</v>
      </c>
      <c r="G28" s="156">
        <v>64252163</v>
      </c>
      <c r="H28" s="157">
        <v>0</v>
      </c>
      <c r="I28" s="157">
        <v>33861174</v>
      </c>
      <c r="J28" s="157">
        <v>348017</v>
      </c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8">
        <v>98461354</v>
      </c>
    </row>
    <row r="29" spans="1:25" x14ac:dyDescent="0.25">
      <c r="A29" s="60">
        <v>11</v>
      </c>
      <c r="B29" s="60" t="s">
        <v>117</v>
      </c>
      <c r="C29" s="60">
        <v>70</v>
      </c>
      <c r="D29" s="60">
        <v>0</v>
      </c>
      <c r="E29" s="60">
        <f t="shared" si="0"/>
        <v>0</v>
      </c>
      <c r="F29" s="155">
        <v>212</v>
      </c>
      <c r="G29" s="156">
        <v>24856700</v>
      </c>
      <c r="H29" s="157">
        <v>0</v>
      </c>
      <c r="I29" s="157">
        <v>12003258</v>
      </c>
      <c r="J29" s="157">
        <v>6661395</v>
      </c>
      <c r="K29" s="157">
        <v>0</v>
      </c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8">
        <v>43521353</v>
      </c>
    </row>
    <row r="30" spans="1:25" x14ac:dyDescent="0.25">
      <c r="A30" s="60">
        <v>11</v>
      </c>
      <c r="B30" s="60" t="s">
        <v>117</v>
      </c>
      <c r="C30" s="60">
        <v>100</v>
      </c>
      <c r="D30" s="60">
        <v>0</v>
      </c>
      <c r="E30" s="60">
        <f t="shared" si="0"/>
        <v>0</v>
      </c>
      <c r="F30" s="155">
        <v>215</v>
      </c>
      <c r="G30" s="156">
        <v>59183274</v>
      </c>
      <c r="H30" s="157">
        <v>0</v>
      </c>
      <c r="I30" s="157">
        <v>0</v>
      </c>
      <c r="J30" s="157">
        <v>45310477</v>
      </c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8">
        <v>104493751</v>
      </c>
    </row>
    <row r="31" spans="1:25" x14ac:dyDescent="0.25">
      <c r="A31" s="60">
        <v>11</v>
      </c>
      <c r="B31" s="60" t="s">
        <v>117</v>
      </c>
      <c r="C31" s="60">
        <v>110</v>
      </c>
      <c r="D31" s="60">
        <v>40185980</v>
      </c>
      <c r="E31" s="60">
        <f t="shared" si="0"/>
        <v>-40185980</v>
      </c>
      <c r="F31" s="155">
        <v>222</v>
      </c>
      <c r="G31" s="156">
        <v>12538006</v>
      </c>
      <c r="H31" s="157">
        <v>55411</v>
      </c>
      <c r="I31" s="157">
        <v>15749433</v>
      </c>
      <c r="J31" s="157">
        <v>860118</v>
      </c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8">
        <v>29202968</v>
      </c>
    </row>
    <row r="32" spans="1:25" x14ac:dyDescent="0.25">
      <c r="A32" s="60">
        <v>11</v>
      </c>
      <c r="B32" s="60" t="s">
        <v>117</v>
      </c>
      <c r="C32" s="60">
        <v>120</v>
      </c>
      <c r="D32" s="60">
        <v>100</v>
      </c>
      <c r="E32" s="60">
        <f t="shared" si="0"/>
        <v>-100</v>
      </c>
      <c r="F32" s="155">
        <v>242</v>
      </c>
      <c r="G32" s="156">
        <v>25763389</v>
      </c>
      <c r="H32" s="157">
        <v>0</v>
      </c>
      <c r="I32" s="157">
        <v>18005321</v>
      </c>
      <c r="J32" s="157">
        <v>13358029</v>
      </c>
      <c r="K32" s="157">
        <v>0</v>
      </c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8">
        <v>57126739</v>
      </c>
    </row>
    <row r="33" spans="1:25" x14ac:dyDescent="0.25">
      <c r="A33" s="60">
        <v>11</v>
      </c>
      <c r="B33" s="60" t="s">
        <v>117</v>
      </c>
      <c r="C33" s="60">
        <v>130</v>
      </c>
      <c r="D33" s="60">
        <v>435180</v>
      </c>
      <c r="E33" s="60">
        <f t="shared" si="0"/>
        <v>-435180</v>
      </c>
      <c r="F33" s="155">
        <v>252</v>
      </c>
      <c r="G33" s="156">
        <v>2726822</v>
      </c>
      <c r="H33" s="157">
        <v>0</v>
      </c>
      <c r="I33" s="157">
        <v>7087231</v>
      </c>
      <c r="J33" s="157">
        <v>13670</v>
      </c>
      <c r="K33" s="157">
        <v>0</v>
      </c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8">
        <v>9827723</v>
      </c>
    </row>
    <row r="34" spans="1:25" x14ac:dyDescent="0.25">
      <c r="A34" s="60">
        <v>11</v>
      </c>
      <c r="B34" s="60" t="s">
        <v>117</v>
      </c>
      <c r="C34" s="60">
        <v>140</v>
      </c>
      <c r="D34" s="60">
        <v>29726680</v>
      </c>
      <c r="E34" s="60">
        <f t="shared" si="0"/>
        <v>-29726680</v>
      </c>
      <c r="F34" s="155">
        <v>262</v>
      </c>
      <c r="G34" s="156">
        <v>12412786</v>
      </c>
      <c r="H34" s="157">
        <v>0</v>
      </c>
      <c r="I34" s="157">
        <v>7832551</v>
      </c>
      <c r="J34" s="157">
        <v>0</v>
      </c>
      <c r="K34" s="157">
        <v>0</v>
      </c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8">
        <v>20245337</v>
      </c>
    </row>
    <row r="35" spans="1:25" x14ac:dyDescent="0.25">
      <c r="A35" s="60">
        <v>11</v>
      </c>
      <c r="B35" s="60" t="s">
        <v>117</v>
      </c>
      <c r="C35" s="60">
        <v>150</v>
      </c>
      <c r="D35" s="60">
        <v>0</v>
      </c>
      <c r="E35" s="60">
        <f t="shared" si="0"/>
        <v>0</v>
      </c>
      <c r="F35" s="155">
        <v>272</v>
      </c>
      <c r="G35" s="156">
        <v>12798770</v>
      </c>
      <c r="H35" s="157">
        <v>-6333</v>
      </c>
      <c r="I35" s="157">
        <v>19951910</v>
      </c>
      <c r="J35" s="157">
        <v>17734900</v>
      </c>
      <c r="K35" s="157">
        <v>0</v>
      </c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8">
        <v>50479247</v>
      </c>
    </row>
    <row r="36" spans="1:25" x14ac:dyDescent="0.25">
      <c r="A36" s="60">
        <v>11</v>
      </c>
      <c r="B36" s="60" t="s">
        <v>117</v>
      </c>
      <c r="C36" s="60">
        <v>200</v>
      </c>
      <c r="D36" s="60">
        <v>384588</v>
      </c>
      <c r="E36" s="60">
        <f t="shared" si="0"/>
        <v>-384588</v>
      </c>
      <c r="F36" s="155">
        <v>282</v>
      </c>
      <c r="G36" s="156">
        <v>0</v>
      </c>
      <c r="H36" s="157">
        <v>0</v>
      </c>
      <c r="I36" s="157">
        <v>0</v>
      </c>
      <c r="J36" s="157">
        <v>0</v>
      </c>
      <c r="K36" s="157">
        <v>0</v>
      </c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8">
        <v>0</v>
      </c>
    </row>
    <row r="37" spans="1:25" x14ac:dyDescent="0.25">
      <c r="A37" s="60">
        <v>11</v>
      </c>
      <c r="B37" s="60" t="s">
        <v>117</v>
      </c>
      <c r="C37" s="60">
        <v>210</v>
      </c>
      <c r="D37" s="60">
        <v>283061</v>
      </c>
      <c r="E37" s="60">
        <f t="shared" si="0"/>
        <v>-283061</v>
      </c>
      <c r="F37" s="155">
        <v>292</v>
      </c>
      <c r="G37" s="156">
        <v>0</v>
      </c>
      <c r="H37" s="157">
        <v>-9106</v>
      </c>
      <c r="I37" s="157">
        <v>31012302</v>
      </c>
      <c r="J37" s="157">
        <v>8989979</v>
      </c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8">
        <v>39993175</v>
      </c>
    </row>
    <row r="38" spans="1:25" x14ac:dyDescent="0.25">
      <c r="A38" s="60">
        <v>11</v>
      </c>
      <c r="B38" s="60" t="s">
        <v>117</v>
      </c>
      <c r="C38" s="60">
        <v>220</v>
      </c>
      <c r="D38" s="60">
        <v>0</v>
      </c>
      <c r="E38" s="60">
        <f t="shared" si="0"/>
        <v>0</v>
      </c>
      <c r="F38" s="155">
        <v>301</v>
      </c>
      <c r="G38" s="156">
        <v>0</v>
      </c>
      <c r="H38" s="157">
        <v>0</v>
      </c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8">
        <v>0</v>
      </c>
    </row>
    <row r="39" spans="1:25" x14ac:dyDescent="0.25">
      <c r="A39" s="60">
        <v>11</v>
      </c>
      <c r="B39" s="60" t="s">
        <v>117</v>
      </c>
      <c r="C39" s="60">
        <v>230</v>
      </c>
      <c r="D39" s="60">
        <v>0</v>
      </c>
      <c r="E39" s="60">
        <f t="shared" si="0"/>
        <v>0</v>
      </c>
      <c r="F39" s="155">
        <v>311</v>
      </c>
      <c r="G39" s="156">
        <v>30688530</v>
      </c>
      <c r="H39" s="157">
        <v>-64703</v>
      </c>
      <c r="I39" s="157">
        <v>14386168</v>
      </c>
      <c r="J39" s="157">
        <v>2134005</v>
      </c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8">
        <v>47144000</v>
      </c>
    </row>
    <row r="40" spans="1:25" x14ac:dyDescent="0.25">
      <c r="A40" s="60">
        <v>11</v>
      </c>
      <c r="B40" s="60" t="s">
        <v>117</v>
      </c>
      <c r="C40" s="60">
        <v>260</v>
      </c>
      <c r="D40" s="60">
        <v>0</v>
      </c>
      <c r="E40" s="60">
        <f t="shared" si="0"/>
        <v>0</v>
      </c>
      <c r="F40" s="155">
        <v>331</v>
      </c>
      <c r="G40" s="156">
        <v>487748</v>
      </c>
      <c r="H40" s="157">
        <v>0</v>
      </c>
      <c r="I40" s="157">
        <v>1413161</v>
      </c>
      <c r="J40" s="157">
        <v>0</v>
      </c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8">
        <v>1900909</v>
      </c>
    </row>
    <row r="41" spans="1:25" x14ac:dyDescent="0.25">
      <c r="A41" s="60">
        <v>11</v>
      </c>
      <c r="B41" s="60" t="s">
        <v>117</v>
      </c>
      <c r="C41" s="60">
        <v>270</v>
      </c>
      <c r="D41" s="60">
        <v>0</v>
      </c>
      <c r="E41" s="60">
        <f t="shared" si="0"/>
        <v>0</v>
      </c>
      <c r="F41" s="155">
        <v>341</v>
      </c>
      <c r="G41" s="156">
        <v>18057201</v>
      </c>
      <c r="H41" s="157">
        <v>141220</v>
      </c>
      <c r="I41" s="157">
        <v>11089519</v>
      </c>
      <c r="J41" s="157">
        <v>14351420</v>
      </c>
      <c r="K41" s="157">
        <v>13595</v>
      </c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8">
        <v>43652955</v>
      </c>
    </row>
    <row r="42" spans="1:25" x14ac:dyDescent="0.25">
      <c r="A42" s="60">
        <v>11</v>
      </c>
      <c r="B42" s="60" t="s">
        <v>117</v>
      </c>
      <c r="C42" s="60">
        <v>298</v>
      </c>
      <c r="D42" s="60">
        <v>0</v>
      </c>
      <c r="E42" s="60">
        <f t="shared" si="0"/>
        <v>0</v>
      </c>
      <c r="F42" s="155">
        <v>351</v>
      </c>
      <c r="G42" s="156">
        <v>14153755</v>
      </c>
      <c r="H42" s="157">
        <v>414741</v>
      </c>
      <c r="I42" s="157">
        <v>9139538</v>
      </c>
      <c r="J42" s="157">
        <v>157532</v>
      </c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8">
        <v>23865566</v>
      </c>
    </row>
    <row r="43" spans="1:25" x14ac:dyDescent="0.25">
      <c r="A43" s="60">
        <v>11</v>
      </c>
      <c r="B43" s="60" t="s">
        <v>118</v>
      </c>
      <c r="C43" s="60">
        <v>1</v>
      </c>
      <c r="D43" s="60">
        <v>3480</v>
      </c>
      <c r="E43" s="60">
        <f t="shared" si="0"/>
        <v>3480</v>
      </c>
      <c r="F43" s="155">
        <v>361</v>
      </c>
      <c r="G43" s="156">
        <v>11088121</v>
      </c>
      <c r="H43" s="157">
        <v>0</v>
      </c>
      <c r="I43" s="157">
        <v>0</v>
      </c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8">
        <v>11088121</v>
      </c>
    </row>
    <row r="44" spans="1:25" x14ac:dyDescent="0.25">
      <c r="A44" s="60">
        <v>11</v>
      </c>
      <c r="B44" s="60" t="s">
        <v>118</v>
      </c>
      <c r="C44" s="60">
        <v>10</v>
      </c>
      <c r="D44" s="60">
        <v>6895060</v>
      </c>
      <c r="E44" s="60">
        <f t="shared" si="0"/>
        <v>6895060</v>
      </c>
      <c r="F44" s="155">
        <v>432</v>
      </c>
      <c r="G44" s="156">
        <v>4332077</v>
      </c>
      <c r="H44" s="157">
        <v>10465038</v>
      </c>
      <c r="I44" s="157">
        <v>12465455</v>
      </c>
      <c r="J44" s="157">
        <v>0</v>
      </c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8">
        <v>27262570</v>
      </c>
    </row>
    <row r="45" spans="1:25" x14ac:dyDescent="0.25">
      <c r="A45" s="60">
        <v>11</v>
      </c>
      <c r="B45" s="60" t="s">
        <v>118</v>
      </c>
      <c r="C45" s="60">
        <v>20</v>
      </c>
      <c r="D45" s="60">
        <v>0</v>
      </c>
      <c r="E45" s="60">
        <f t="shared" si="0"/>
        <v>0</v>
      </c>
      <c r="F45" s="155">
        <v>433</v>
      </c>
      <c r="G45" s="156">
        <v>2543642</v>
      </c>
      <c r="H45" s="157">
        <v>-768</v>
      </c>
      <c r="I45" s="157">
        <v>32182180</v>
      </c>
      <c r="J45" s="157">
        <v>54447521</v>
      </c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8">
        <v>89172575</v>
      </c>
    </row>
    <row r="46" spans="1:25" x14ac:dyDescent="0.25">
      <c r="A46" s="60">
        <v>11</v>
      </c>
      <c r="B46" s="60" t="s">
        <v>118</v>
      </c>
      <c r="C46" s="60">
        <v>50</v>
      </c>
      <c r="D46" s="60">
        <v>2340</v>
      </c>
      <c r="E46" s="60">
        <f t="shared" si="0"/>
        <v>2340</v>
      </c>
      <c r="F46" s="155">
        <v>442</v>
      </c>
      <c r="G46" s="156">
        <v>69982</v>
      </c>
      <c r="H46" s="157">
        <v>6216631</v>
      </c>
      <c r="I46" s="157">
        <v>17137558</v>
      </c>
      <c r="J46" s="157">
        <v>8503159</v>
      </c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8">
        <v>31927330</v>
      </c>
    </row>
    <row r="47" spans="1:25" x14ac:dyDescent="0.25">
      <c r="A47" s="60">
        <v>11</v>
      </c>
      <c r="B47" s="60" t="s">
        <v>118</v>
      </c>
      <c r="C47" s="60">
        <v>70</v>
      </c>
      <c r="D47" s="60">
        <v>0</v>
      </c>
      <c r="E47" s="60">
        <f t="shared" si="0"/>
        <v>0</v>
      </c>
      <c r="F47" s="155">
        <v>443</v>
      </c>
      <c r="G47" s="156">
        <v>25374557</v>
      </c>
      <c r="H47" s="157">
        <v>1092657</v>
      </c>
      <c r="I47" s="157">
        <v>27787617</v>
      </c>
      <c r="J47" s="157">
        <v>1168498</v>
      </c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8">
        <v>55423329</v>
      </c>
    </row>
    <row r="48" spans="1:25" x14ac:dyDescent="0.25">
      <c r="A48" s="60">
        <v>11</v>
      </c>
      <c r="B48" s="60" t="s">
        <v>118</v>
      </c>
      <c r="C48" s="60">
        <v>110</v>
      </c>
      <c r="D48" s="60">
        <v>0</v>
      </c>
      <c r="E48" s="60">
        <f t="shared" si="0"/>
        <v>0</v>
      </c>
      <c r="F48" s="155">
        <v>510</v>
      </c>
      <c r="G48" s="156">
        <v>17149813</v>
      </c>
      <c r="H48" s="157">
        <v>27862335</v>
      </c>
      <c r="I48" s="157">
        <v>12823001</v>
      </c>
      <c r="J48" s="157">
        <v>0</v>
      </c>
      <c r="K48" s="157">
        <v>0</v>
      </c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8">
        <v>57835149</v>
      </c>
    </row>
    <row r="49" spans="1:25" x14ac:dyDescent="0.25">
      <c r="A49" s="60">
        <v>11</v>
      </c>
      <c r="B49" s="60" t="s">
        <v>118</v>
      </c>
      <c r="C49" s="60">
        <v>120</v>
      </c>
      <c r="D49" s="60">
        <v>10020</v>
      </c>
      <c r="E49" s="60">
        <f t="shared" si="0"/>
        <v>-10020</v>
      </c>
      <c r="F49" s="155">
        <v>520</v>
      </c>
      <c r="G49" s="156">
        <v>7831692</v>
      </c>
      <c r="H49" s="157">
        <v>617723</v>
      </c>
      <c r="I49" s="157">
        <v>0</v>
      </c>
      <c r="J49" s="157">
        <v>589907</v>
      </c>
      <c r="K49" s="157">
        <v>-8934</v>
      </c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8">
        <v>9030388</v>
      </c>
    </row>
    <row r="50" spans="1:25" x14ac:dyDescent="0.25">
      <c r="A50" s="60">
        <v>11</v>
      </c>
      <c r="B50" s="60" t="s">
        <v>118</v>
      </c>
      <c r="C50" s="60">
        <v>130</v>
      </c>
      <c r="D50" s="60">
        <v>559020</v>
      </c>
      <c r="E50" s="60">
        <f t="shared" si="0"/>
        <v>-559020</v>
      </c>
      <c r="F50" s="155">
        <v>530</v>
      </c>
      <c r="G50" s="156">
        <v>13871632</v>
      </c>
      <c r="H50" s="157">
        <v>561563</v>
      </c>
      <c r="I50" s="157">
        <v>564926</v>
      </c>
      <c r="J50" s="157">
        <v>0</v>
      </c>
      <c r="K50" s="157">
        <v>0</v>
      </c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8">
        <v>14998121</v>
      </c>
    </row>
    <row r="51" spans="1:25" x14ac:dyDescent="0.25">
      <c r="A51" s="60">
        <v>11</v>
      </c>
      <c r="B51" s="60" t="s">
        <v>118</v>
      </c>
      <c r="C51" s="60">
        <v>140</v>
      </c>
      <c r="D51" s="60">
        <v>0</v>
      </c>
      <c r="E51" s="60">
        <f t="shared" si="0"/>
        <v>0</v>
      </c>
      <c r="F51" s="155">
        <v>540</v>
      </c>
      <c r="G51" s="156">
        <v>0</v>
      </c>
      <c r="H51" s="157">
        <v>2067219</v>
      </c>
      <c r="I51" s="157">
        <v>8159752</v>
      </c>
      <c r="J51" s="157">
        <v>5791426</v>
      </c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8">
        <v>16018397</v>
      </c>
    </row>
    <row r="52" spans="1:25" x14ac:dyDescent="0.25">
      <c r="A52" s="60">
        <v>11</v>
      </c>
      <c r="B52" s="60" t="s">
        <v>118</v>
      </c>
      <c r="C52" s="60">
        <v>141</v>
      </c>
      <c r="D52" s="60">
        <v>5425840</v>
      </c>
      <c r="E52" s="60">
        <f t="shared" si="0"/>
        <v>-5425840</v>
      </c>
      <c r="F52" s="155">
        <v>192</v>
      </c>
      <c r="G52" s="156">
        <v>14958998</v>
      </c>
      <c r="H52" s="157">
        <v>2163727</v>
      </c>
      <c r="I52" s="157">
        <v>21587738</v>
      </c>
      <c r="J52" s="157">
        <v>1709208</v>
      </c>
      <c r="K52" s="157">
        <v>0</v>
      </c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8">
        <v>40419671</v>
      </c>
    </row>
    <row r="53" spans="1:25" x14ac:dyDescent="0.25">
      <c r="A53" s="60">
        <v>11</v>
      </c>
      <c r="B53" s="60" t="s">
        <v>118</v>
      </c>
      <c r="C53" s="60">
        <v>150</v>
      </c>
      <c r="D53" s="60">
        <v>0</v>
      </c>
      <c r="E53" s="60">
        <f t="shared" si="0"/>
        <v>0</v>
      </c>
      <c r="F53" s="155">
        <v>193</v>
      </c>
      <c r="G53" s="156">
        <v>0</v>
      </c>
      <c r="H53" s="157">
        <v>1739653</v>
      </c>
      <c r="I53" s="157">
        <v>5085785</v>
      </c>
      <c r="J53" s="157">
        <v>821259</v>
      </c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8">
        <v>7646697</v>
      </c>
    </row>
    <row r="54" spans="1:25" x14ac:dyDescent="0.25">
      <c r="A54" s="60">
        <v>11</v>
      </c>
      <c r="B54" s="60" t="s">
        <v>118</v>
      </c>
      <c r="C54" s="60">
        <v>160</v>
      </c>
      <c r="D54" s="60">
        <v>0</v>
      </c>
      <c r="E54" s="60">
        <f t="shared" si="0"/>
        <v>0</v>
      </c>
      <c r="F54" s="155">
        <v>194</v>
      </c>
      <c r="G54" s="156">
        <v>22320956</v>
      </c>
      <c r="H54" s="157">
        <v>0</v>
      </c>
      <c r="I54" s="157">
        <v>0</v>
      </c>
      <c r="J54" s="157">
        <v>0</v>
      </c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8">
        <v>22320956</v>
      </c>
    </row>
    <row r="55" spans="1:25" x14ac:dyDescent="0.25">
      <c r="A55" s="60">
        <v>11</v>
      </c>
      <c r="B55" s="60" t="s">
        <v>118</v>
      </c>
      <c r="C55" s="60">
        <v>200</v>
      </c>
      <c r="D55" s="60">
        <v>34451</v>
      </c>
      <c r="E55" s="60">
        <f t="shared" si="0"/>
        <v>-34451</v>
      </c>
      <c r="F55" s="155">
        <v>195</v>
      </c>
      <c r="G55" s="156">
        <v>8227171</v>
      </c>
      <c r="H55" s="157">
        <v>4204397</v>
      </c>
      <c r="I55" s="157">
        <v>13546908</v>
      </c>
      <c r="J55" s="157">
        <v>1029815</v>
      </c>
      <c r="K55" s="157">
        <v>7482</v>
      </c>
      <c r="L55" s="157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8">
        <v>27015773</v>
      </c>
    </row>
    <row r="56" spans="1:25" x14ac:dyDescent="0.25">
      <c r="A56" s="60">
        <v>11</v>
      </c>
      <c r="B56" s="60" t="s">
        <v>118</v>
      </c>
      <c r="C56" s="60">
        <v>210</v>
      </c>
      <c r="D56" s="60">
        <v>0</v>
      </c>
      <c r="E56" s="60">
        <f t="shared" si="0"/>
        <v>0</v>
      </c>
      <c r="F56" s="155">
        <v>196</v>
      </c>
      <c r="G56" s="156">
        <v>3190971</v>
      </c>
      <c r="H56" s="157">
        <v>76742</v>
      </c>
      <c r="I56" s="157">
        <v>1817397</v>
      </c>
      <c r="J56" s="157">
        <v>0</v>
      </c>
      <c r="K56" s="157">
        <v>0</v>
      </c>
      <c r="L56" s="157"/>
      <c r="M56" s="157"/>
      <c r="N56" s="157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8">
        <v>5085110</v>
      </c>
    </row>
    <row r="57" spans="1:25" x14ac:dyDescent="0.25">
      <c r="A57" s="60">
        <v>11</v>
      </c>
      <c r="B57" s="60" t="s">
        <v>118</v>
      </c>
      <c r="C57" s="60">
        <v>220</v>
      </c>
      <c r="D57" s="60">
        <v>0</v>
      </c>
      <c r="E57" s="60">
        <f t="shared" si="0"/>
        <v>0</v>
      </c>
      <c r="F57" s="155">
        <v>197</v>
      </c>
      <c r="G57" s="156">
        <v>0</v>
      </c>
      <c r="H57" s="157">
        <v>0</v>
      </c>
      <c r="I57" s="157">
        <v>0</v>
      </c>
      <c r="J57" s="157">
        <v>0</v>
      </c>
      <c r="K57" s="157">
        <v>0</v>
      </c>
      <c r="L57" s="157"/>
      <c r="M57" s="157"/>
      <c r="N57" s="157"/>
      <c r="O57" s="157"/>
      <c r="P57" s="157"/>
      <c r="Q57" s="157"/>
      <c r="R57" s="157"/>
      <c r="S57" s="157"/>
      <c r="T57" s="157"/>
      <c r="U57" s="157"/>
      <c r="V57" s="157"/>
      <c r="W57" s="157"/>
      <c r="X57" s="157"/>
      <c r="Y57" s="158">
        <v>0</v>
      </c>
    </row>
    <row r="58" spans="1:25" x14ac:dyDescent="0.25">
      <c r="A58" s="60">
        <v>11</v>
      </c>
      <c r="B58" s="60" t="s">
        <v>118</v>
      </c>
      <c r="C58" s="60">
        <v>230</v>
      </c>
      <c r="D58" s="60">
        <v>163941</v>
      </c>
      <c r="E58" s="60">
        <f t="shared" si="0"/>
        <v>-163941</v>
      </c>
      <c r="F58" s="155">
        <v>198</v>
      </c>
      <c r="G58" s="156">
        <v>7676338</v>
      </c>
      <c r="H58" s="157">
        <v>0</v>
      </c>
      <c r="I58" s="157">
        <v>0</v>
      </c>
      <c r="J58" s="157">
        <v>0</v>
      </c>
      <c r="K58" s="157">
        <v>0</v>
      </c>
      <c r="L58" s="157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8">
        <v>7676338</v>
      </c>
    </row>
    <row r="59" spans="1:25" x14ac:dyDescent="0.25">
      <c r="A59" s="60">
        <v>11</v>
      </c>
      <c r="B59" s="60" t="s">
        <v>118</v>
      </c>
      <c r="C59" s="60">
        <v>260</v>
      </c>
      <c r="D59" s="60">
        <v>0</v>
      </c>
      <c r="E59" s="60">
        <f t="shared" si="0"/>
        <v>0</v>
      </c>
      <c r="F59" s="155">
        <v>199</v>
      </c>
      <c r="G59" s="156">
        <v>0</v>
      </c>
      <c r="H59" s="157"/>
      <c r="I59" s="157">
        <v>0</v>
      </c>
      <c r="J59" s="157"/>
      <c r="K59" s="157"/>
      <c r="L59" s="157"/>
      <c r="M59" s="157"/>
      <c r="N59" s="157"/>
      <c r="O59" s="157"/>
      <c r="P59" s="157"/>
      <c r="Q59" s="157"/>
      <c r="R59" s="157"/>
      <c r="S59" s="157"/>
      <c r="T59" s="157"/>
      <c r="U59" s="157"/>
      <c r="V59" s="157"/>
      <c r="W59" s="157"/>
      <c r="X59" s="157"/>
      <c r="Y59" s="158">
        <v>0</v>
      </c>
    </row>
    <row r="60" spans="1:25" x14ac:dyDescent="0.25">
      <c r="A60" s="60">
        <v>11</v>
      </c>
      <c r="B60" s="60" t="s">
        <v>118</v>
      </c>
      <c r="C60" s="60">
        <v>270</v>
      </c>
      <c r="D60" s="60">
        <v>0</v>
      </c>
      <c r="E60" s="60">
        <f t="shared" si="0"/>
        <v>0</v>
      </c>
      <c r="F60" s="155">
        <v>445</v>
      </c>
      <c r="G60" s="156">
        <v>0</v>
      </c>
      <c r="H60" s="157">
        <v>0</v>
      </c>
      <c r="I60" s="157">
        <v>0</v>
      </c>
      <c r="J60" s="157">
        <v>27718165</v>
      </c>
      <c r="K60" s="157"/>
      <c r="L60" s="157"/>
      <c r="M60" s="157"/>
      <c r="N60" s="157"/>
      <c r="O60" s="157"/>
      <c r="P60" s="157"/>
      <c r="Q60" s="157"/>
      <c r="R60" s="157"/>
      <c r="S60" s="157"/>
      <c r="T60" s="157"/>
      <c r="U60" s="157"/>
      <c r="V60" s="157"/>
      <c r="W60" s="157"/>
      <c r="X60" s="157"/>
      <c r="Y60" s="158">
        <v>27718165</v>
      </c>
    </row>
    <row r="61" spans="1:25" x14ac:dyDescent="0.25">
      <c r="A61" s="60">
        <v>11</v>
      </c>
      <c r="B61" s="60" t="s">
        <v>118</v>
      </c>
      <c r="C61" s="60">
        <v>298</v>
      </c>
      <c r="D61" s="60">
        <v>0</v>
      </c>
      <c r="E61" s="60">
        <f t="shared" si="0"/>
        <v>0</v>
      </c>
      <c r="F61" s="155">
        <v>315</v>
      </c>
      <c r="G61" s="156">
        <v>0</v>
      </c>
      <c r="H61" s="157">
        <v>0</v>
      </c>
      <c r="I61" s="157">
        <v>0</v>
      </c>
      <c r="J61" s="157">
        <v>22416989</v>
      </c>
      <c r="K61" s="157"/>
      <c r="L61" s="157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8">
        <v>22416989</v>
      </c>
    </row>
    <row r="62" spans="1:25" x14ac:dyDescent="0.25">
      <c r="A62" s="60">
        <v>11</v>
      </c>
      <c r="B62" s="60" t="s">
        <v>119</v>
      </c>
      <c r="C62" s="60">
        <v>1</v>
      </c>
      <c r="D62" s="60">
        <v>22922452</v>
      </c>
      <c r="E62" s="60">
        <f t="shared" si="0"/>
        <v>22922452</v>
      </c>
      <c r="F62" s="155">
        <v>565</v>
      </c>
      <c r="G62" s="156">
        <v>28312780</v>
      </c>
      <c r="H62" s="157"/>
      <c r="I62" s="157"/>
      <c r="J62" s="157"/>
      <c r="K62" s="157"/>
      <c r="L62" s="157"/>
      <c r="M62" s="157"/>
      <c r="N62" s="157"/>
      <c r="O62" s="157"/>
      <c r="P62" s="157"/>
      <c r="Q62" s="157"/>
      <c r="R62" s="157"/>
      <c r="S62" s="157"/>
      <c r="T62" s="157"/>
      <c r="U62" s="157"/>
      <c r="V62" s="157"/>
      <c r="W62" s="157"/>
      <c r="X62" s="157"/>
      <c r="Y62" s="158">
        <v>28312780</v>
      </c>
    </row>
    <row r="63" spans="1:25" x14ac:dyDescent="0.25">
      <c r="A63" s="60">
        <v>11</v>
      </c>
      <c r="B63" s="60" t="s">
        <v>119</v>
      </c>
      <c r="C63" s="60">
        <v>10</v>
      </c>
      <c r="D63" s="60">
        <v>45139490</v>
      </c>
      <c r="E63" s="60">
        <f t="shared" si="0"/>
        <v>45139490</v>
      </c>
      <c r="F63" s="155">
        <v>245</v>
      </c>
      <c r="G63" s="156">
        <v>0</v>
      </c>
      <c r="H63" s="157"/>
      <c r="I63" s="157">
        <v>0</v>
      </c>
      <c r="J63" s="157">
        <v>13572418</v>
      </c>
      <c r="K63" s="157"/>
      <c r="L63" s="157"/>
      <c r="M63" s="157"/>
      <c r="N63" s="157"/>
      <c r="O63" s="157"/>
      <c r="P63" s="157"/>
      <c r="Q63" s="157"/>
      <c r="R63" s="157"/>
      <c r="S63" s="157"/>
      <c r="T63" s="157"/>
      <c r="U63" s="157"/>
      <c r="V63" s="157"/>
      <c r="W63" s="157"/>
      <c r="X63" s="157"/>
      <c r="Y63" s="158">
        <v>13572418</v>
      </c>
    </row>
    <row r="64" spans="1:25" x14ac:dyDescent="0.25">
      <c r="A64" s="60">
        <v>11</v>
      </c>
      <c r="B64" s="60" t="s">
        <v>119</v>
      </c>
      <c r="C64" s="60">
        <v>20</v>
      </c>
      <c r="D64" s="60">
        <v>0</v>
      </c>
      <c r="E64" s="60">
        <f t="shared" si="0"/>
        <v>0</v>
      </c>
      <c r="F64" s="155">
        <v>434</v>
      </c>
      <c r="G64" s="156">
        <v>0</v>
      </c>
      <c r="H64" s="157">
        <v>18589</v>
      </c>
      <c r="I64" s="157">
        <v>0</v>
      </c>
      <c r="J64" s="157">
        <v>190529</v>
      </c>
      <c r="K64" s="157"/>
      <c r="L64" s="157"/>
      <c r="M64" s="157"/>
      <c r="N64" s="157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8">
        <v>209118</v>
      </c>
    </row>
    <row r="65" spans="1:25" x14ac:dyDescent="0.25">
      <c r="A65" s="60">
        <v>11</v>
      </c>
      <c r="B65" s="60" t="s">
        <v>119</v>
      </c>
      <c r="C65" s="60">
        <v>50</v>
      </c>
      <c r="D65" s="60">
        <v>0</v>
      </c>
      <c r="E65" s="60">
        <f t="shared" si="0"/>
        <v>0</v>
      </c>
      <c r="F65" s="155">
        <v>190</v>
      </c>
      <c r="G65" s="156">
        <v>46978560</v>
      </c>
      <c r="H65" s="157">
        <v>0</v>
      </c>
      <c r="I65" s="157">
        <v>0</v>
      </c>
      <c r="J65" s="157">
        <v>0</v>
      </c>
      <c r="K65" s="157"/>
      <c r="L65" s="157"/>
      <c r="M65" s="157"/>
      <c r="N65" s="157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8">
        <v>46978560</v>
      </c>
    </row>
    <row r="66" spans="1:25" x14ac:dyDescent="0.25">
      <c r="A66" s="60">
        <v>11</v>
      </c>
      <c r="B66" s="60" t="s">
        <v>119</v>
      </c>
      <c r="C66" s="60">
        <v>60</v>
      </c>
      <c r="D66" s="60">
        <v>0</v>
      </c>
      <c r="E66" s="60">
        <f t="shared" ref="E66:E129" si="1">IF(C66&lt;100,D66,D66*-1)</f>
        <v>0</v>
      </c>
      <c r="F66" s="155">
        <v>447</v>
      </c>
      <c r="G66" s="156">
        <v>-71047</v>
      </c>
      <c r="H66" s="157">
        <v>0</v>
      </c>
      <c r="I66" s="157">
        <v>25178939</v>
      </c>
      <c r="J66" s="157">
        <v>3245826</v>
      </c>
      <c r="K66" s="157"/>
      <c r="L66" s="157"/>
      <c r="M66" s="157"/>
      <c r="N66" s="157"/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8">
        <v>28353718</v>
      </c>
    </row>
    <row r="67" spans="1:25" x14ac:dyDescent="0.25">
      <c r="A67" s="60">
        <v>11</v>
      </c>
      <c r="B67" s="60" t="s">
        <v>119</v>
      </c>
      <c r="C67" s="60">
        <v>70</v>
      </c>
      <c r="D67" s="60">
        <v>0</v>
      </c>
      <c r="E67" s="60">
        <f t="shared" si="1"/>
        <v>0</v>
      </c>
      <c r="F67" s="155">
        <v>541</v>
      </c>
      <c r="G67" s="156">
        <v>23791656</v>
      </c>
      <c r="H67" s="157">
        <v>2590715</v>
      </c>
      <c r="I67" s="157">
        <v>3599437</v>
      </c>
      <c r="J67" s="157">
        <v>11395884</v>
      </c>
      <c r="K67" s="157"/>
      <c r="L67" s="157"/>
      <c r="M67" s="157"/>
      <c r="N67" s="15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8">
        <v>41377692</v>
      </c>
    </row>
    <row r="68" spans="1:25" x14ac:dyDescent="0.25">
      <c r="A68" s="60">
        <v>11</v>
      </c>
      <c r="B68" s="60" t="s">
        <v>119</v>
      </c>
      <c r="C68" s="60">
        <v>110</v>
      </c>
      <c r="D68" s="60">
        <v>8621420</v>
      </c>
      <c r="E68" s="60">
        <f t="shared" si="1"/>
        <v>-8621420</v>
      </c>
      <c r="F68" s="155">
        <v>542</v>
      </c>
      <c r="G68" s="156">
        <v>34026356</v>
      </c>
      <c r="H68" s="157">
        <v>9331528</v>
      </c>
      <c r="I68" s="157">
        <v>3177148</v>
      </c>
      <c r="J68" s="157">
        <v>0</v>
      </c>
      <c r="K68" s="157">
        <v>0</v>
      </c>
      <c r="L68" s="157"/>
      <c r="M68" s="157"/>
      <c r="N68" s="157"/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8">
        <v>46535032</v>
      </c>
    </row>
    <row r="69" spans="1:25" x14ac:dyDescent="0.25">
      <c r="A69" s="60">
        <v>11</v>
      </c>
      <c r="B69" s="60" t="s">
        <v>119</v>
      </c>
      <c r="C69" s="60">
        <v>120</v>
      </c>
      <c r="D69" s="60">
        <v>600</v>
      </c>
      <c r="E69" s="60">
        <f t="shared" si="1"/>
        <v>-600</v>
      </c>
      <c r="F69" s="155">
        <v>543</v>
      </c>
      <c r="G69" s="156">
        <v>28607470</v>
      </c>
      <c r="H69" s="157">
        <v>13980341</v>
      </c>
      <c r="I69" s="157">
        <v>1138143</v>
      </c>
      <c r="J69" s="157">
        <v>2201675</v>
      </c>
      <c r="K69" s="157"/>
      <c r="L69" s="157"/>
      <c r="M69" s="157"/>
      <c r="N69" s="157"/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8">
        <v>45927629</v>
      </c>
    </row>
    <row r="70" spans="1:25" x14ac:dyDescent="0.25">
      <c r="A70" s="60">
        <v>11</v>
      </c>
      <c r="B70" s="60" t="s">
        <v>119</v>
      </c>
      <c r="C70" s="60">
        <v>130</v>
      </c>
      <c r="D70" s="60">
        <v>0</v>
      </c>
      <c r="E70" s="60">
        <f t="shared" si="1"/>
        <v>0</v>
      </c>
      <c r="F70" s="155">
        <v>544</v>
      </c>
      <c r="G70" s="156">
        <v>15708409</v>
      </c>
      <c r="H70" s="157">
        <v>20585031</v>
      </c>
      <c r="I70" s="157">
        <v>4194296</v>
      </c>
      <c r="J70" s="157">
        <v>82935</v>
      </c>
      <c r="K70" s="157"/>
      <c r="L70" s="157"/>
      <c r="M70" s="157"/>
      <c r="N70" s="157"/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8">
        <v>40570671</v>
      </c>
    </row>
    <row r="71" spans="1:25" x14ac:dyDescent="0.25">
      <c r="A71" s="60">
        <v>11</v>
      </c>
      <c r="B71" s="60" t="s">
        <v>119</v>
      </c>
      <c r="C71" s="60">
        <v>140</v>
      </c>
      <c r="D71" s="60">
        <v>20491720</v>
      </c>
      <c r="E71" s="60">
        <f t="shared" si="1"/>
        <v>-20491720</v>
      </c>
      <c r="F71" s="155">
        <v>545</v>
      </c>
      <c r="G71" s="156">
        <v>5308356</v>
      </c>
      <c r="H71" s="157">
        <v>14107074</v>
      </c>
      <c r="I71" s="157">
        <v>2970775</v>
      </c>
      <c r="J71" s="157">
        <v>0</v>
      </c>
      <c r="K71" s="157"/>
      <c r="L71" s="157"/>
      <c r="M71" s="157"/>
      <c r="N71" s="157"/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8">
        <v>22386205</v>
      </c>
    </row>
    <row r="72" spans="1:25" x14ac:dyDescent="0.25">
      <c r="A72" s="60">
        <v>11</v>
      </c>
      <c r="B72" s="60" t="s">
        <v>119</v>
      </c>
      <c r="C72" s="60">
        <v>141</v>
      </c>
      <c r="D72" s="60">
        <v>22786620</v>
      </c>
      <c r="E72" s="60">
        <f t="shared" si="1"/>
        <v>-22786620</v>
      </c>
      <c r="F72" s="155">
        <v>546</v>
      </c>
      <c r="G72" s="156">
        <v>0</v>
      </c>
      <c r="H72" s="157">
        <v>14657602</v>
      </c>
      <c r="I72" s="157">
        <v>6895894</v>
      </c>
      <c r="J72" s="157">
        <v>0</v>
      </c>
      <c r="K72" s="157"/>
      <c r="L72" s="157"/>
      <c r="M72" s="157"/>
      <c r="N72" s="157"/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8">
        <v>21553496</v>
      </c>
    </row>
    <row r="73" spans="1:25" x14ac:dyDescent="0.25">
      <c r="A73" s="60">
        <v>11</v>
      </c>
      <c r="B73" s="60" t="s">
        <v>119</v>
      </c>
      <c r="C73" s="60">
        <v>200</v>
      </c>
      <c r="D73" s="60">
        <v>223403</v>
      </c>
      <c r="E73" s="60">
        <f t="shared" si="1"/>
        <v>-223403</v>
      </c>
      <c r="F73" s="155">
        <v>547</v>
      </c>
      <c r="G73" s="156">
        <v>33380</v>
      </c>
      <c r="H73" s="157">
        <v>20664296</v>
      </c>
      <c r="I73" s="157">
        <v>6408513</v>
      </c>
      <c r="J73" s="157">
        <v>230409</v>
      </c>
      <c r="K73" s="157"/>
      <c r="L73" s="157"/>
      <c r="M73" s="157"/>
      <c r="N73" s="157"/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8">
        <v>27336598</v>
      </c>
    </row>
    <row r="74" spans="1:25" x14ac:dyDescent="0.25">
      <c r="A74" s="60">
        <v>11</v>
      </c>
      <c r="B74" s="60" t="s">
        <v>119</v>
      </c>
      <c r="C74" s="60">
        <v>210</v>
      </c>
      <c r="D74" s="60">
        <v>26640</v>
      </c>
      <c r="E74" s="60">
        <f t="shared" si="1"/>
        <v>-26640</v>
      </c>
      <c r="F74" s="155">
        <v>548</v>
      </c>
      <c r="G74" s="156">
        <v>4531757</v>
      </c>
      <c r="H74" s="157">
        <v>7952231</v>
      </c>
      <c r="I74" s="157">
        <v>3534818</v>
      </c>
      <c r="J74" s="157">
        <v>139540</v>
      </c>
      <c r="K74" s="157"/>
      <c r="L74" s="157"/>
      <c r="M74" s="157"/>
      <c r="N74" s="157"/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8">
        <v>16158346</v>
      </c>
    </row>
    <row r="75" spans="1:25" x14ac:dyDescent="0.25">
      <c r="A75" s="60">
        <v>11</v>
      </c>
      <c r="B75" s="60" t="s">
        <v>119</v>
      </c>
      <c r="C75" s="60">
        <v>220</v>
      </c>
      <c r="D75" s="60">
        <v>0</v>
      </c>
      <c r="E75" s="60">
        <f t="shared" si="1"/>
        <v>0</v>
      </c>
      <c r="F75" s="155">
        <v>549</v>
      </c>
      <c r="G75" s="156">
        <v>0</v>
      </c>
      <c r="H75" s="157">
        <v>7926438</v>
      </c>
      <c r="I75" s="157"/>
      <c r="J75" s="157"/>
      <c r="K75" s="157"/>
      <c r="L75" s="157"/>
      <c r="M75" s="157"/>
      <c r="N75" s="157"/>
      <c r="O75" s="157"/>
      <c r="P75" s="157"/>
      <c r="Q75" s="157"/>
      <c r="R75" s="157"/>
      <c r="S75" s="157"/>
      <c r="T75" s="157"/>
      <c r="U75" s="157"/>
      <c r="V75" s="157"/>
      <c r="W75" s="157"/>
      <c r="X75" s="157"/>
      <c r="Y75" s="158">
        <v>7926438</v>
      </c>
    </row>
    <row r="76" spans="1:25" x14ac:dyDescent="0.25">
      <c r="A76" s="60">
        <v>11</v>
      </c>
      <c r="B76" s="60" t="s">
        <v>119</v>
      </c>
      <c r="C76" s="60">
        <v>230</v>
      </c>
      <c r="D76" s="60">
        <v>309285</v>
      </c>
      <c r="E76" s="60">
        <f t="shared" si="1"/>
        <v>-309285</v>
      </c>
      <c r="F76" s="155">
        <v>550</v>
      </c>
      <c r="G76" s="156">
        <v>8584905</v>
      </c>
      <c r="H76" s="157">
        <v>2909108</v>
      </c>
      <c r="I76" s="157">
        <v>2168582</v>
      </c>
      <c r="J76" s="157">
        <v>1510409</v>
      </c>
      <c r="K76" s="157"/>
      <c r="L76" s="157"/>
      <c r="M76" s="157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8">
        <v>15173004</v>
      </c>
    </row>
    <row r="77" spans="1:25" x14ac:dyDescent="0.25">
      <c r="A77" s="60">
        <v>11</v>
      </c>
      <c r="B77" s="60" t="s">
        <v>119</v>
      </c>
      <c r="C77" s="60">
        <v>270</v>
      </c>
      <c r="D77" s="60">
        <v>0</v>
      </c>
      <c r="E77" s="60">
        <f t="shared" si="1"/>
        <v>0</v>
      </c>
      <c r="F77" s="155">
        <v>551</v>
      </c>
      <c r="G77" s="156">
        <v>26485309</v>
      </c>
      <c r="H77" s="157">
        <v>8037390</v>
      </c>
      <c r="I77" s="157">
        <v>7750405</v>
      </c>
      <c r="J77" s="157">
        <v>18986660</v>
      </c>
      <c r="K77" s="157"/>
      <c r="L77" s="157"/>
      <c r="M77" s="157"/>
      <c r="N77" s="157"/>
      <c r="O77" s="157"/>
      <c r="P77" s="157"/>
      <c r="Q77" s="157"/>
      <c r="R77" s="157"/>
      <c r="S77" s="157"/>
      <c r="T77" s="157"/>
      <c r="U77" s="157"/>
      <c r="V77" s="157"/>
      <c r="W77" s="157"/>
      <c r="X77" s="157"/>
      <c r="Y77" s="158">
        <v>61259764</v>
      </c>
    </row>
    <row r="78" spans="1:25" x14ac:dyDescent="0.25">
      <c r="A78" s="60">
        <v>11</v>
      </c>
      <c r="B78" s="60" t="s">
        <v>119</v>
      </c>
      <c r="C78" s="60">
        <v>298</v>
      </c>
      <c r="D78" s="60">
        <v>0</v>
      </c>
      <c r="E78" s="60">
        <f t="shared" si="1"/>
        <v>0</v>
      </c>
      <c r="F78" s="155">
        <v>571</v>
      </c>
      <c r="G78" s="156">
        <v>0</v>
      </c>
      <c r="H78" s="157">
        <v>0</v>
      </c>
      <c r="I78" s="157"/>
      <c r="J78" s="157">
        <v>0</v>
      </c>
      <c r="K78" s="157"/>
      <c r="L78" s="157"/>
      <c r="M78" s="157"/>
      <c r="N78" s="157"/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8">
        <v>0</v>
      </c>
    </row>
    <row r="79" spans="1:25" x14ac:dyDescent="0.25">
      <c r="A79" s="60">
        <v>11</v>
      </c>
      <c r="B79" s="60" t="s">
        <v>120</v>
      </c>
      <c r="C79" s="60">
        <v>1</v>
      </c>
      <c r="D79" s="60">
        <v>30535609</v>
      </c>
      <c r="E79" s="60">
        <f t="shared" si="1"/>
        <v>30535609</v>
      </c>
      <c r="F79" s="155">
        <v>601</v>
      </c>
      <c r="G79" s="156">
        <v>0</v>
      </c>
      <c r="H79" s="157">
        <v>0</v>
      </c>
      <c r="I79" s="157">
        <v>0</v>
      </c>
      <c r="J79" s="157">
        <v>0</v>
      </c>
      <c r="K79" s="157"/>
      <c r="L79" s="157"/>
      <c r="M79" s="157"/>
      <c r="N79" s="157"/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8">
        <v>0</v>
      </c>
    </row>
    <row r="80" spans="1:25" x14ac:dyDescent="0.25">
      <c r="A80" s="60">
        <v>11</v>
      </c>
      <c r="B80" s="60" t="s">
        <v>120</v>
      </c>
      <c r="C80" s="60">
        <v>10</v>
      </c>
      <c r="D80" s="60">
        <v>64934320</v>
      </c>
      <c r="E80" s="60">
        <f t="shared" si="1"/>
        <v>64934320</v>
      </c>
      <c r="F80" s="155">
        <v>602</v>
      </c>
      <c r="G80" s="156">
        <v>0</v>
      </c>
      <c r="H80" s="157">
        <v>0</v>
      </c>
      <c r="I80" s="157">
        <v>0</v>
      </c>
      <c r="J80" s="157">
        <v>0</v>
      </c>
      <c r="K80" s="157"/>
      <c r="L80" s="157"/>
      <c r="M80" s="157"/>
      <c r="N80" s="157"/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8">
        <v>0</v>
      </c>
    </row>
    <row r="81" spans="1:25" x14ac:dyDescent="0.25">
      <c r="A81" s="60">
        <v>11</v>
      </c>
      <c r="B81" s="60" t="s">
        <v>120</v>
      </c>
      <c r="C81" s="60">
        <v>20</v>
      </c>
      <c r="D81" s="60">
        <v>0</v>
      </c>
      <c r="E81" s="60">
        <f t="shared" si="1"/>
        <v>0</v>
      </c>
      <c r="F81" s="155">
        <v>603</v>
      </c>
      <c r="G81" s="156">
        <v>0</v>
      </c>
      <c r="H81" s="157">
        <v>0</v>
      </c>
      <c r="I81" s="157">
        <v>0</v>
      </c>
      <c r="J81" s="157">
        <v>0</v>
      </c>
      <c r="K81" s="157"/>
      <c r="L81" s="157"/>
      <c r="M81" s="157"/>
      <c r="N81" s="157"/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8">
        <v>0</v>
      </c>
    </row>
    <row r="82" spans="1:25" x14ac:dyDescent="0.25">
      <c r="A82" s="60">
        <v>11</v>
      </c>
      <c r="B82" s="60" t="s">
        <v>120</v>
      </c>
      <c r="C82" s="60">
        <v>50</v>
      </c>
      <c r="D82" s="60">
        <v>0</v>
      </c>
      <c r="E82" s="60">
        <f t="shared" si="1"/>
        <v>0</v>
      </c>
      <c r="F82" s="155">
        <v>605</v>
      </c>
      <c r="G82" s="156">
        <v>0</v>
      </c>
      <c r="H82" s="157">
        <v>0</v>
      </c>
      <c r="I82" s="157">
        <v>0</v>
      </c>
      <c r="J82" s="157">
        <v>0</v>
      </c>
      <c r="K82" s="157"/>
      <c r="L82" s="157"/>
      <c r="M82" s="157"/>
      <c r="N82" s="157"/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8">
        <v>0</v>
      </c>
    </row>
    <row r="83" spans="1:25" x14ac:dyDescent="0.25">
      <c r="A83" s="60">
        <v>11</v>
      </c>
      <c r="B83" s="60" t="s">
        <v>120</v>
      </c>
      <c r="C83" s="60">
        <v>51</v>
      </c>
      <c r="D83" s="60">
        <v>155940</v>
      </c>
      <c r="E83" s="60">
        <f t="shared" si="1"/>
        <v>155940</v>
      </c>
      <c r="F83" s="155">
        <v>940</v>
      </c>
      <c r="G83" s="156">
        <v>0</v>
      </c>
      <c r="H83" s="157"/>
      <c r="I83" s="157"/>
      <c r="J83" s="157"/>
      <c r="K83" s="157"/>
      <c r="L83" s="157"/>
      <c r="M83" s="157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8">
        <v>0</v>
      </c>
    </row>
    <row r="84" spans="1:25" x14ac:dyDescent="0.25">
      <c r="A84" s="60">
        <v>11</v>
      </c>
      <c r="B84" s="60" t="s">
        <v>120</v>
      </c>
      <c r="C84" s="60">
        <v>70</v>
      </c>
      <c r="D84" s="60">
        <v>0</v>
      </c>
      <c r="E84" s="60">
        <f t="shared" si="1"/>
        <v>0</v>
      </c>
      <c r="F84" s="155">
        <v>963</v>
      </c>
      <c r="G84" s="156">
        <v>0</v>
      </c>
      <c r="H84" s="157">
        <v>0</v>
      </c>
      <c r="I84" s="157"/>
      <c r="J84" s="157"/>
      <c r="K84" s="157"/>
      <c r="L84" s="157"/>
      <c r="M84" s="157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8">
        <v>0</v>
      </c>
    </row>
    <row r="85" spans="1:25" x14ac:dyDescent="0.25">
      <c r="A85" s="60">
        <v>11</v>
      </c>
      <c r="B85" s="60" t="s">
        <v>120</v>
      </c>
      <c r="C85" s="60">
        <v>110</v>
      </c>
      <c r="D85" s="60">
        <v>13868280</v>
      </c>
      <c r="E85" s="60">
        <f t="shared" si="1"/>
        <v>-13868280</v>
      </c>
      <c r="F85" s="155">
        <v>967</v>
      </c>
      <c r="G85" s="156"/>
      <c r="H85" s="157"/>
      <c r="I85" s="157">
        <v>0</v>
      </c>
      <c r="J85" s="157"/>
      <c r="K85" s="157"/>
      <c r="L85" s="157"/>
      <c r="M85" s="157"/>
      <c r="N85" s="157"/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8">
        <v>0</v>
      </c>
    </row>
    <row r="86" spans="1:25" x14ac:dyDescent="0.25">
      <c r="A86" s="60">
        <v>11</v>
      </c>
      <c r="B86" s="60" t="s">
        <v>120</v>
      </c>
      <c r="C86" s="60">
        <v>120</v>
      </c>
      <c r="D86" s="60">
        <v>303707</v>
      </c>
      <c r="E86" s="60">
        <f t="shared" si="1"/>
        <v>-303707</v>
      </c>
      <c r="F86" s="155">
        <v>972</v>
      </c>
      <c r="G86" s="156"/>
      <c r="H86" s="157"/>
      <c r="I86" s="157"/>
      <c r="J86" s="157">
        <v>0</v>
      </c>
      <c r="K86" s="157"/>
      <c r="L86" s="157"/>
      <c r="M86" s="157"/>
      <c r="N86" s="157"/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8">
        <v>0</v>
      </c>
    </row>
    <row r="87" spans="1:25" x14ac:dyDescent="0.25">
      <c r="A87" s="60">
        <v>11</v>
      </c>
      <c r="B87" s="60" t="s">
        <v>120</v>
      </c>
      <c r="C87" s="60">
        <v>130</v>
      </c>
      <c r="D87" s="60">
        <v>14924993</v>
      </c>
      <c r="E87" s="60">
        <f t="shared" si="1"/>
        <v>-14924993</v>
      </c>
      <c r="F87" s="155">
        <v>293</v>
      </c>
      <c r="G87" s="156">
        <v>8067246</v>
      </c>
      <c r="H87" s="157">
        <v>3547607</v>
      </c>
      <c r="I87" s="157">
        <v>19199189</v>
      </c>
      <c r="J87" s="157">
        <v>24730179</v>
      </c>
      <c r="K87" s="157"/>
      <c r="L87" s="157"/>
      <c r="M87" s="157"/>
      <c r="N87" s="157"/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8">
        <v>55544221</v>
      </c>
    </row>
    <row r="88" spans="1:25" x14ac:dyDescent="0.25">
      <c r="A88" s="60">
        <v>11</v>
      </c>
      <c r="B88" s="60" t="s">
        <v>120</v>
      </c>
      <c r="C88" s="60">
        <v>140</v>
      </c>
      <c r="D88" s="60">
        <v>0</v>
      </c>
      <c r="E88" s="60">
        <f t="shared" si="1"/>
        <v>0</v>
      </c>
      <c r="F88" s="155">
        <v>294</v>
      </c>
      <c r="G88" s="156">
        <v>8738289</v>
      </c>
      <c r="H88" s="157">
        <v>47771</v>
      </c>
      <c r="I88" s="157">
        <v>19120894</v>
      </c>
      <c r="J88" s="157">
        <v>4346582</v>
      </c>
      <c r="K88" s="157"/>
      <c r="L88" s="157"/>
      <c r="M88" s="157"/>
      <c r="N88" s="157"/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8">
        <v>32253536</v>
      </c>
    </row>
    <row r="89" spans="1:25" x14ac:dyDescent="0.25">
      <c r="A89" s="60">
        <v>11</v>
      </c>
      <c r="B89" s="60" t="s">
        <v>120</v>
      </c>
      <c r="C89" s="60">
        <v>141</v>
      </c>
      <c r="D89" s="60">
        <v>50412060</v>
      </c>
      <c r="E89" s="60">
        <f t="shared" si="1"/>
        <v>-50412060</v>
      </c>
      <c r="F89" s="155">
        <v>295</v>
      </c>
      <c r="G89" s="156">
        <v>4005792</v>
      </c>
      <c r="H89" s="157">
        <v>2507925</v>
      </c>
      <c r="I89" s="157">
        <v>24701283</v>
      </c>
      <c r="J89" s="157">
        <v>38889544</v>
      </c>
      <c r="K89" s="157">
        <v>0</v>
      </c>
      <c r="L89" s="157"/>
      <c r="M89" s="157"/>
      <c r="N89" s="157"/>
      <c r="O89" s="157"/>
      <c r="P89" s="157"/>
      <c r="Q89" s="157"/>
      <c r="R89" s="157"/>
      <c r="S89" s="157"/>
      <c r="T89" s="157"/>
      <c r="U89" s="157"/>
      <c r="V89" s="157"/>
      <c r="W89" s="157"/>
      <c r="X89" s="157"/>
      <c r="Y89" s="158">
        <v>70104544</v>
      </c>
    </row>
    <row r="90" spans="1:25" x14ac:dyDescent="0.25">
      <c r="A90" s="60">
        <v>11</v>
      </c>
      <c r="B90" s="60" t="s">
        <v>120</v>
      </c>
      <c r="C90" s="60">
        <v>150</v>
      </c>
      <c r="D90" s="60">
        <v>0</v>
      </c>
      <c r="E90" s="60">
        <f t="shared" si="1"/>
        <v>0</v>
      </c>
      <c r="F90" s="155">
        <v>187</v>
      </c>
      <c r="G90" s="156">
        <v>141957</v>
      </c>
      <c r="H90" s="157">
        <v>12916037</v>
      </c>
      <c r="I90" s="157">
        <v>11405351</v>
      </c>
      <c r="J90" s="157">
        <v>17489718</v>
      </c>
      <c r="K90" s="157"/>
      <c r="L90" s="157"/>
      <c r="M90" s="157"/>
      <c r="N90" s="157"/>
      <c r="O90" s="157"/>
      <c r="P90" s="157"/>
      <c r="Q90" s="157"/>
      <c r="R90" s="157"/>
      <c r="S90" s="157"/>
      <c r="T90" s="157"/>
      <c r="U90" s="157"/>
      <c r="V90" s="157"/>
      <c r="W90" s="157"/>
      <c r="X90" s="157"/>
      <c r="Y90" s="158">
        <v>41953063</v>
      </c>
    </row>
    <row r="91" spans="1:25" x14ac:dyDescent="0.25">
      <c r="A91" s="60">
        <v>11</v>
      </c>
      <c r="B91" s="60" t="s">
        <v>120</v>
      </c>
      <c r="C91" s="60">
        <v>160</v>
      </c>
      <c r="D91" s="60">
        <v>0</v>
      </c>
      <c r="E91" s="60">
        <f t="shared" si="1"/>
        <v>0</v>
      </c>
      <c r="F91" s="155">
        <v>561</v>
      </c>
      <c r="G91" s="156">
        <v>251001043</v>
      </c>
      <c r="H91" s="157">
        <v>0</v>
      </c>
      <c r="I91" s="157">
        <v>0</v>
      </c>
      <c r="J91" s="157">
        <v>0</v>
      </c>
      <c r="K91" s="157"/>
      <c r="L91" s="157"/>
      <c r="M91" s="157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8">
        <v>251001043</v>
      </c>
    </row>
    <row r="92" spans="1:25" x14ac:dyDescent="0.25">
      <c r="A92" s="60">
        <v>11</v>
      </c>
      <c r="B92" s="60" t="s">
        <v>120</v>
      </c>
      <c r="C92" s="60">
        <v>200</v>
      </c>
      <c r="D92" s="60">
        <v>645498</v>
      </c>
      <c r="E92" s="60">
        <f t="shared" si="1"/>
        <v>-645498</v>
      </c>
      <c r="F92" s="155">
        <v>560</v>
      </c>
      <c r="G92" s="156">
        <v>39851744</v>
      </c>
      <c r="H92" s="157">
        <v>2860079</v>
      </c>
      <c r="I92" s="157">
        <v>75533241</v>
      </c>
      <c r="J92" s="157">
        <v>18162935</v>
      </c>
      <c r="K92" s="157"/>
      <c r="L92" s="157"/>
      <c r="M92" s="157"/>
      <c r="N92" s="157"/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8">
        <v>136407999</v>
      </c>
    </row>
    <row r="93" spans="1:25" x14ac:dyDescent="0.25">
      <c r="A93" s="60">
        <v>11</v>
      </c>
      <c r="B93" s="60" t="s">
        <v>120</v>
      </c>
      <c r="C93" s="60">
        <v>210</v>
      </c>
      <c r="D93" s="60">
        <v>1214</v>
      </c>
      <c r="E93" s="60">
        <f t="shared" si="1"/>
        <v>-1214</v>
      </c>
      <c r="F93" s="155">
        <v>296</v>
      </c>
      <c r="G93" s="156"/>
      <c r="H93" s="157">
        <v>0</v>
      </c>
      <c r="I93" s="157">
        <v>0</v>
      </c>
      <c r="J93" s="157">
        <v>23427143</v>
      </c>
      <c r="K93" s="157"/>
      <c r="L93" s="157"/>
      <c r="M93" s="157"/>
      <c r="N93" s="157"/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8">
        <v>23427143</v>
      </c>
    </row>
    <row r="94" spans="1:25" x14ac:dyDescent="0.25">
      <c r="A94" s="60">
        <v>11</v>
      </c>
      <c r="B94" s="60" t="s">
        <v>120</v>
      </c>
      <c r="C94" s="60">
        <v>211</v>
      </c>
      <c r="D94" s="60">
        <v>33781</v>
      </c>
      <c r="E94" s="60">
        <f t="shared" si="1"/>
        <v>-33781</v>
      </c>
      <c r="F94" s="155">
        <v>570</v>
      </c>
      <c r="G94" s="156">
        <v>0</v>
      </c>
      <c r="H94" s="157"/>
      <c r="I94" s="157"/>
      <c r="J94" s="157"/>
      <c r="K94" s="157"/>
      <c r="L94" s="157"/>
      <c r="M94" s="157"/>
      <c r="N94" s="157"/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8">
        <v>0</v>
      </c>
    </row>
    <row r="95" spans="1:25" x14ac:dyDescent="0.25">
      <c r="A95" s="60">
        <v>11</v>
      </c>
      <c r="B95" s="60" t="s">
        <v>120</v>
      </c>
      <c r="C95" s="60">
        <v>220</v>
      </c>
      <c r="D95" s="60">
        <v>0</v>
      </c>
      <c r="E95" s="60">
        <f t="shared" si="1"/>
        <v>0</v>
      </c>
      <c r="F95" s="155" t="s">
        <v>186</v>
      </c>
      <c r="G95" s="156"/>
      <c r="H95" s="157"/>
      <c r="I95" s="157"/>
      <c r="J95" s="157"/>
      <c r="K95" s="157"/>
      <c r="L95" s="157">
        <v>0</v>
      </c>
      <c r="M95" s="157"/>
      <c r="N95" s="157"/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8">
        <v>0</v>
      </c>
    </row>
    <row r="96" spans="1:25" x14ac:dyDescent="0.25">
      <c r="A96" s="60">
        <v>11</v>
      </c>
      <c r="B96" s="60" t="s">
        <v>120</v>
      </c>
      <c r="C96" s="60">
        <v>230</v>
      </c>
      <c r="D96" s="60">
        <v>376196</v>
      </c>
      <c r="E96" s="60">
        <f t="shared" si="1"/>
        <v>-376196</v>
      </c>
      <c r="F96" s="155">
        <v>188</v>
      </c>
      <c r="G96" s="156">
        <v>0</v>
      </c>
      <c r="H96" s="157"/>
      <c r="I96" s="157">
        <v>0</v>
      </c>
      <c r="J96" s="157">
        <v>50938610</v>
      </c>
      <c r="K96" s="157"/>
      <c r="L96" s="157"/>
      <c r="M96" s="157"/>
      <c r="N96" s="157"/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8">
        <v>50938610</v>
      </c>
    </row>
    <row r="97" spans="1:25" x14ac:dyDescent="0.25">
      <c r="A97" s="60">
        <v>11</v>
      </c>
      <c r="B97" s="60" t="s">
        <v>120</v>
      </c>
      <c r="C97" s="60">
        <v>260</v>
      </c>
      <c r="D97" s="60">
        <v>0</v>
      </c>
      <c r="E97" s="60">
        <f t="shared" si="1"/>
        <v>0</v>
      </c>
      <c r="F97" s="155">
        <v>291</v>
      </c>
      <c r="G97" s="156"/>
      <c r="H97" s="157">
        <v>0</v>
      </c>
      <c r="I97" s="157"/>
      <c r="J97" s="157">
        <v>17952122</v>
      </c>
      <c r="K97" s="157"/>
      <c r="L97" s="157"/>
      <c r="M97" s="157"/>
      <c r="N97" s="157"/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8">
        <v>17952122</v>
      </c>
    </row>
    <row r="98" spans="1:25" x14ac:dyDescent="0.25">
      <c r="A98" s="60">
        <v>11</v>
      </c>
      <c r="B98" s="60" t="s">
        <v>120</v>
      </c>
      <c r="C98" s="60">
        <v>270</v>
      </c>
      <c r="D98" s="60">
        <v>0</v>
      </c>
      <c r="E98" s="60">
        <f t="shared" si="1"/>
        <v>0</v>
      </c>
      <c r="F98" s="155">
        <v>32</v>
      </c>
      <c r="G98" s="156">
        <v>0</v>
      </c>
      <c r="H98" s="157"/>
      <c r="I98" s="157"/>
      <c r="J98" s="157">
        <v>57989600</v>
      </c>
      <c r="K98" s="157"/>
      <c r="L98" s="157"/>
      <c r="M98" s="157"/>
      <c r="N98" s="157"/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8">
        <v>57989600</v>
      </c>
    </row>
    <row r="99" spans="1:25" x14ac:dyDescent="0.25">
      <c r="A99" s="60">
        <v>11</v>
      </c>
      <c r="B99" s="60" t="s">
        <v>120</v>
      </c>
      <c r="C99" s="60">
        <v>298</v>
      </c>
      <c r="D99" s="60">
        <v>0</v>
      </c>
      <c r="E99" s="60">
        <f t="shared" si="1"/>
        <v>0</v>
      </c>
      <c r="F99" s="155">
        <v>566</v>
      </c>
      <c r="G99" s="156">
        <v>272866960</v>
      </c>
      <c r="H99" s="157"/>
      <c r="I99" s="157"/>
      <c r="J99" s="157"/>
      <c r="K99" s="157"/>
      <c r="L99" s="157"/>
      <c r="M99" s="157"/>
      <c r="N99" s="157"/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8">
        <v>272866960</v>
      </c>
    </row>
    <row r="100" spans="1:25" x14ac:dyDescent="0.25">
      <c r="A100" s="60">
        <v>11</v>
      </c>
      <c r="B100" s="60" t="s">
        <v>121</v>
      </c>
      <c r="C100" s="60">
        <v>1</v>
      </c>
      <c r="D100" s="60">
        <v>0</v>
      </c>
      <c r="E100" s="60">
        <f t="shared" si="1"/>
        <v>0</v>
      </c>
      <c r="F100" s="155">
        <v>200</v>
      </c>
      <c r="G100" s="156">
        <v>40446538</v>
      </c>
      <c r="H100" s="157"/>
      <c r="I100" s="157"/>
      <c r="J100" s="157"/>
      <c r="K100" s="157"/>
      <c r="L100" s="157"/>
      <c r="M100" s="157"/>
      <c r="N100" s="157"/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8">
        <v>40446538</v>
      </c>
    </row>
    <row r="101" spans="1:25" x14ac:dyDescent="0.25">
      <c r="A101" s="60">
        <v>11</v>
      </c>
      <c r="B101" s="60" t="s">
        <v>121</v>
      </c>
      <c r="C101" s="60">
        <v>10</v>
      </c>
      <c r="D101" s="60">
        <v>0</v>
      </c>
      <c r="E101" s="60">
        <f t="shared" si="1"/>
        <v>0</v>
      </c>
      <c r="F101" s="155">
        <v>567</v>
      </c>
      <c r="G101" s="156">
        <v>6224460</v>
      </c>
      <c r="H101" s="157"/>
      <c r="I101" s="157"/>
      <c r="J101" s="157"/>
      <c r="K101" s="157"/>
      <c r="L101" s="157"/>
      <c r="M101" s="157"/>
      <c r="N101" s="157"/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8">
        <v>6224460</v>
      </c>
    </row>
    <row r="102" spans="1:25" x14ac:dyDescent="0.25">
      <c r="A102" s="60">
        <v>11</v>
      </c>
      <c r="B102" s="60" t="s">
        <v>121</v>
      </c>
      <c r="C102" s="60">
        <v>20</v>
      </c>
      <c r="D102" s="60">
        <v>0</v>
      </c>
      <c r="E102" s="60">
        <f t="shared" si="1"/>
        <v>0</v>
      </c>
      <c r="F102" s="155">
        <v>966</v>
      </c>
      <c r="G102" s="156">
        <v>0</v>
      </c>
      <c r="H102" s="157"/>
      <c r="I102" s="157"/>
      <c r="J102" s="157"/>
      <c r="K102" s="157"/>
      <c r="L102" s="157"/>
      <c r="M102" s="157"/>
      <c r="N102" s="157"/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8">
        <v>0</v>
      </c>
    </row>
    <row r="103" spans="1:25" x14ac:dyDescent="0.25">
      <c r="A103" s="60">
        <v>11</v>
      </c>
      <c r="B103" s="60" t="s">
        <v>121</v>
      </c>
      <c r="C103" s="60">
        <v>110</v>
      </c>
      <c r="D103" s="60">
        <v>0</v>
      </c>
      <c r="E103" s="60">
        <f t="shared" si="1"/>
        <v>0</v>
      </c>
      <c r="F103" s="155" t="s">
        <v>206</v>
      </c>
      <c r="G103" s="156"/>
      <c r="H103" s="157"/>
      <c r="I103" s="157"/>
      <c r="J103" s="157"/>
      <c r="K103" s="157"/>
      <c r="L103" s="157"/>
      <c r="M103" s="157">
        <v>2274</v>
      </c>
      <c r="N103" s="157"/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8">
        <v>2274</v>
      </c>
    </row>
    <row r="104" spans="1:25" x14ac:dyDescent="0.25">
      <c r="A104" s="60">
        <v>11</v>
      </c>
      <c r="B104" s="60" t="s">
        <v>121</v>
      </c>
      <c r="C104" s="60">
        <v>140</v>
      </c>
      <c r="D104" s="60">
        <v>0</v>
      </c>
      <c r="E104" s="60">
        <f t="shared" si="1"/>
        <v>0</v>
      </c>
      <c r="F104" s="155" t="s">
        <v>208</v>
      </c>
      <c r="G104" s="156"/>
      <c r="H104" s="157"/>
      <c r="I104" s="157"/>
      <c r="J104" s="157"/>
      <c r="K104" s="157"/>
      <c r="L104" s="157"/>
      <c r="M104" s="157"/>
      <c r="N104" s="157">
        <v>3402</v>
      </c>
      <c r="O104" s="157"/>
      <c r="P104" s="157"/>
      <c r="Q104" s="157"/>
      <c r="R104" s="157"/>
      <c r="S104" s="157"/>
      <c r="T104" s="157"/>
      <c r="U104" s="157"/>
      <c r="V104" s="157"/>
      <c r="W104" s="157"/>
      <c r="X104" s="157"/>
      <c r="Y104" s="158">
        <v>3402</v>
      </c>
    </row>
    <row r="105" spans="1:25" x14ac:dyDescent="0.25">
      <c r="A105" s="60">
        <v>11</v>
      </c>
      <c r="B105" s="60" t="s">
        <v>121</v>
      </c>
      <c r="C105" s="60">
        <v>210</v>
      </c>
      <c r="D105" s="60">
        <v>0</v>
      </c>
      <c r="E105" s="60">
        <f t="shared" si="1"/>
        <v>0</v>
      </c>
      <c r="F105" s="155" t="s">
        <v>210</v>
      </c>
      <c r="G105" s="156"/>
      <c r="H105" s="157"/>
      <c r="I105" s="157"/>
      <c r="J105" s="157"/>
      <c r="K105" s="157"/>
      <c r="L105" s="157"/>
      <c r="M105" s="157"/>
      <c r="N105" s="157"/>
      <c r="O105" s="157">
        <v>535665</v>
      </c>
      <c r="P105" s="157"/>
      <c r="Q105" s="157"/>
      <c r="R105" s="157"/>
      <c r="S105" s="157"/>
      <c r="T105" s="157"/>
      <c r="U105" s="157"/>
      <c r="V105" s="157"/>
      <c r="W105" s="157"/>
      <c r="X105" s="157"/>
      <c r="Y105" s="158">
        <v>535665</v>
      </c>
    </row>
    <row r="106" spans="1:25" x14ac:dyDescent="0.25">
      <c r="A106" s="60">
        <v>11</v>
      </c>
      <c r="B106" s="60" t="s">
        <v>121</v>
      </c>
      <c r="C106" s="60">
        <v>230</v>
      </c>
      <c r="D106" s="60">
        <v>0</v>
      </c>
      <c r="E106" s="60">
        <f t="shared" si="1"/>
        <v>0</v>
      </c>
      <c r="F106" s="155" t="s">
        <v>211</v>
      </c>
      <c r="G106" s="156"/>
      <c r="H106" s="157"/>
      <c r="I106" s="157"/>
      <c r="J106" s="157"/>
      <c r="K106" s="157"/>
      <c r="L106" s="157"/>
      <c r="M106" s="157"/>
      <c r="N106" s="157"/>
      <c r="O106" s="157"/>
      <c r="P106" s="157">
        <v>0</v>
      </c>
      <c r="Q106" s="157"/>
      <c r="R106" s="157"/>
      <c r="S106" s="157"/>
      <c r="T106" s="157"/>
      <c r="U106" s="157"/>
      <c r="V106" s="157"/>
      <c r="W106" s="157"/>
      <c r="X106" s="157"/>
      <c r="Y106" s="158">
        <v>0</v>
      </c>
    </row>
    <row r="107" spans="1:25" x14ac:dyDescent="0.25">
      <c r="A107" s="60">
        <v>21</v>
      </c>
      <c r="B107" s="60" t="s">
        <v>117</v>
      </c>
      <c r="C107" s="60">
        <v>1</v>
      </c>
      <c r="D107" s="60">
        <v>12454969</v>
      </c>
      <c r="E107" s="60">
        <f t="shared" si="1"/>
        <v>12454969</v>
      </c>
      <c r="F107" s="155" t="s">
        <v>213</v>
      </c>
      <c r="G107" s="156"/>
      <c r="H107" s="157"/>
      <c r="I107" s="157"/>
      <c r="J107" s="157"/>
      <c r="K107" s="157"/>
      <c r="L107" s="157"/>
      <c r="M107" s="157"/>
      <c r="N107" s="157"/>
      <c r="O107" s="157"/>
      <c r="P107" s="157"/>
      <c r="Q107" s="157">
        <v>3420</v>
      </c>
      <c r="R107" s="157"/>
      <c r="S107" s="157"/>
      <c r="T107" s="157"/>
      <c r="U107" s="157"/>
      <c r="V107" s="157"/>
      <c r="W107" s="157"/>
      <c r="X107" s="157"/>
      <c r="Y107" s="158">
        <v>3420</v>
      </c>
    </row>
    <row r="108" spans="1:25" x14ac:dyDescent="0.25">
      <c r="A108" s="60">
        <v>21</v>
      </c>
      <c r="B108" s="60" t="s">
        <v>117</v>
      </c>
      <c r="C108" s="60">
        <v>10</v>
      </c>
      <c r="D108" s="60">
        <v>14251180</v>
      </c>
      <c r="E108" s="60">
        <f t="shared" si="1"/>
        <v>14251180</v>
      </c>
      <c r="F108" s="155" t="s">
        <v>214</v>
      </c>
      <c r="G108" s="156"/>
      <c r="H108" s="157"/>
      <c r="I108" s="157"/>
      <c r="J108" s="157"/>
      <c r="K108" s="157"/>
      <c r="L108" s="157"/>
      <c r="M108" s="157"/>
      <c r="N108" s="157"/>
      <c r="O108" s="157"/>
      <c r="P108" s="157"/>
      <c r="Q108" s="157"/>
      <c r="R108" s="157">
        <v>3431</v>
      </c>
      <c r="S108" s="157"/>
      <c r="T108" s="157"/>
      <c r="U108" s="157"/>
      <c r="V108" s="157"/>
      <c r="W108" s="157"/>
      <c r="X108" s="157"/>
      <c r="Y108" s="158">
        <v>3431</v>
      </c>
    </row>
    <row r="109" spans="1:25" x14ac:dyDescent="0.25">
      <c r="A109" s="60">
        <v>21</v>
      </c>
      <c r="B109" s="60" t="s">
        <v>117</v>
      </c>
      <c r="C109" s="60">
        <v>20</v>
      </c>
      <c r="D109" s="60">
        <v>0</v>
      </c>
      <c r="E109" s="60">
        <f t="shared" si="1"/>
        <v>0</v>
      </c>
      <c r="F109" s="155" t="s">
        <v>215</v>
      </c>
      <c r="G109" s="156"/>
      <c r="H109" s="157"/>
      <c r="I109" s="157"/>
      <c r="J109" s="157"/>
      <c r="K109" s="157"/>
      <c r="L109" s="157"/>
      <c r="M109" s="157"/>
      <c r="N109" s="157"/>
      <c r="O109" s="157"/>
      <c r="P109" s="157"/>
      <c r="Q109" s="157"/>
      <c r="R109" s="157"/>
      <c r="S109" s="157">
        <v>3512</v>
      </c>
      <c r="T109" s="157"/>
      <c r="U109" s="157"/>
      <c r="V109" s="157"/>
      <c r="W109" s="157"/>
      <c r="X109" s="157"/>
      <c r="Y109" s="158">
        <v>3512</v>
      </c>
    </row>
    <row r="110" spans="1:25" x14ac:dyDescent="0.25">
      <c r="A110" s="60">
        <v>21</v>
      </c>
      <c r="B110" s="60" t="s">
        <v>117</v>
      </c>
      <c r="C110" s="60">
        <v>50</v>
      </c>
      <c r="D110" s="60">
        <v>0</v>
      </c>
      <c r="E110" s="60">
        <f t="shared" si="1"/>
        <v>0</v>
      </c>
      <c r="F110" s="155" t="s">
        <v>216</v>
      </c>
      <c r="G110" s="156"/>
      <c r="H110" s="157"/>
      <c r="I110" s="157"/>
      <c r="J110" s="157"/>
      <c r="K110" s="157"/>
      <c r="L110" s="157"/>
      <c r="M110" s="157"/>
      <c r="N110" s="157"/>
      <c r="O110" s="157"/>
      <c r="P110" s="157"/>
      <c r="Q110" s="157"/>
      <c r="R110" s="157"/>
      <c r="S110" s="157"/>
      <c r="T110" s="157">
        <v>3466</v>
      </c>
      <c r="U110" s="157"/>
      <c r="V110" s="157"/>
      <c r="W110" s="157"/>
      <c r="X110" s="157"/>
      <c r="Y110" s="158">
        <v>3466</v>
      </c>
    </row>
    <row r="111" spans="1:25" x14ac:dyDescent="0.25">
      <c r="A111" s="60">
        <v>21</v>
      </c>
      <c r="B111" s="60" t="s">
        <v>117</v>
      </c>
      <c r="C111" s="60">
        <v>70</v>
      </c>
      <c r="D111" s="60">
        <v>0</v>
      </c>
      <c r="E111" s="60">
        <f t="shared" si="1"/>
        <v>0</v>
      </c>
      <c r="F111" s="155" t="s">
        <v>226</v>
      </c>
      <c r="G111" s="156"/>
      <c r="H111" s="157"/>
      <c r="I111" s="157"/>
      <c r="J111" s="157"/>
      <c r="K111" s="157"/>
      <c r="L111" s="157"/>
      <c r="M111" s="157"/>
      <c r="N111" s="157"/>
      <c r="O111" s="157"/>
      <c r="P111" s="157"/>
      <c r="Q111" s="157"/>
      <c r="R111" s="157"/>
      <c r="S111" s="157"/>
      <c r="T111" s="157"/>
      <c r="U111" s="157"/>
      <c r="V111" s="157"/>
      <c r="W111" s="157"/>
      <c r="X111" s="157"/>
      <c r="Y111" s="158"/>
    </row>
    <row r="112" spans="1:25" x14ac:dyDescent="0.25">
      <c r="A112" s="60">
        <v>21</v>
      </c>
      <c r="B112" s="60" t="s">
        <v>117</v>
      </c>
      <c r="C112" s="60">
        <v>110</v>
      </c>
      <c r="D112" s="60">
        <v>0</v>
      </c>
      <c r="E112" s="60">
        <f t="shared" si="1"/>
        <v>0</v>
      </c>
      <c r="F112" s="155" t="s">
        <v>217</v>
      </c>
      <c r="G112" s="156"/>
      <c r="H112" s="157"/>
      <c r="I112" s="157"/>
      <c r="J112" s="157"/>
      <c r="K112" s="157"/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57"/>
      <c r="W112" s="157"/>
      <c r="X112" s="157"/>
      <c r="Y112" s="158"/>
    </row>
    <row r="113" spans="1:25" x14ac:dyDescent="0.25">
      <c r="A113" s="60">
        <v>21</v>
      </c>
      <c r="B113" s="60" t="s">
        <v>117</v>
      </c>
      <c r="C113" s="60">
        <v>120</v>
      </c>
      <c r="D113" s="60">
        <v>0</v>
      </c>
      <c r="E113" s="60">
        <f t="shared" si="1"/>
        <v>0</v>
      </c>
      <c r="F113" s="155" t="s">
        <v>218</v>
      </c>
      <c r="G113" s="156"/>
      <c r="H113" s="157"/>
      <c r="I113" s="157"/>
      <c r="J113" s="157"/>
      <c r="K113" s="157"/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57">
        <v>3465</v>
      </c>
      <c r="W113" s="157"/>
      <c r="X113" s="157"/>
      <c r="Y113" s="158">
        <v>3465</v>
      </c>
    </row>
    <row r="114" spans="1:25" x14ac:dyDescent="0.25">
      <c r="A114" s="60">
        <v>21</v>
      </c>
      <c r="B114" s="60" t="s">
        <v>117</v>
      </c>
      <c r="C114" s="60">
        <v>130</v>
      </c>
      <c r="D114" s="60">
        <v>0</v>
      </c>
      <c r="E114" s="60">
        <f t="shared" si="1"/>
        <v>0</v>
      </c>
      <c r="F114" s="155" t="s">
        <v>222</v>
      </c>
      <c r="G114" s="156"/>
      <c r="H114" s="157"/>
      <c r="I114" s="157"/>
      <c r="J114" s="157"/>
      <c r="K114" s="157"/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57"/>
      <c r="W114" s="157">
        <v>3418</v>
      </c>
      <c r="X114" s="157"/>
      <c r="Y114" s="158">
        <v>3418</v>
      </c>
    </row>
    <row r="115" spans="1:25" x14ac:dyDescent="0.25">
      <c r="A115" s="60">
        <v>21</v>
      </c>
      <c r="B115" s="60" t="s">
        <v>117</v>
      </c>
      <c r="C115" s="60">
        <v>140</v>
      </c>
      <c r="D115" s="60">
        <v>13856460</v>
      </c>
      <c r="E115" s="60">
        <f t="shared" si="1"/>
        <v>-13856460</v>
      </c>
      <c r="F115" s="159" t="s">
        <v>122</v>
      </c>
      <c r="G115" s="160">
        <v>1605110075</v>
      </c>
      <c r="H115" s="161">
        <v>219578110</v>
      </c>
      <c r="I115" s="161">
        <v>678356832</v>
      </c>
      <c r="J115" s="161">
        <v>630402148</v>
      </c>
      <c r="K115" s="161">
        <v>1501</v>
      </c>
      <c r="L115" s="161">
        <v>0</v>
      </c>
      <c r="M115" s="161">
        <v>2274</v>
      </c>
      <c r="N115" s="161">
        <v>3402</v>
      </c>
      <c r="O115" s="161">
        <v>535665</v>
      </c>
      <c r="P115" s="161">
        <v>0</v>
      </c>
      <c r="Q115" s="161">
        <v>3420</v>
      </c>
      <c r="R115" s="161">
        <v>3431</v>
      </c>
      <c r="S115" s="161">
        <v>3512</v>
      </c>
      <c r="T115" s="161">
        <v>3466</v>
      </c>
      <c r="U115" s="161"/>
      <c r="V115" s="161">
        <v>3465</v>
      </c>
      <c r="W115" s="161">
        <v>3418</v>
      </c>
      <c r="X115" s="161"/>
      <c r="Y115" s="162">
        <v>3134010719</v>
      </c>
    </row>
    <row r="116" spans="1:25" x14ac:dyDescent="0.25">
      <c r="A116" s="60">
        <v>21</v>
      </c>
      <c r="B116" s="60" t="s">
        <v>117</v>
      </c>
      <c r="C116" s="60">
        <v>141</v>
      </c>
      <c r="D116" s="60">
        <v>269780</v>
      </c>
      <c r="E116" s="60">
        <f t="shared" si="1"/>
        <v>-269780</v>
      </c>
    </row>
    <row r="117" spans="1:25" x14ac:dyDescent="0.25">
      <c r="A117" s="60">
        <v>21</v>
      </c>
      <c r="B117" s="60" t="s">
        <v>117</v>
      </c>
      <c r="C117" s="60">
        <v>200</v>
      </c>
      <c r="D117" s="60">
        <v>69448</v>
      </c>
      <c r="E117" s="60">
        <f t="shared" si="1"/>
        <v>-69448</v>
      </c>
    </row>
    <row r="118" spans="1:25" x14ac:dyDescent="0.25">
      <c r="A118" s="60">
        <v>21</v>
      </c>
      <c r="B118" s="60" t="s">
        <v>117</v>
      </c>
      <c r="C118" s="60">
        <v>210</v>
      </c>
      <c r="D118" s="60">
        <v>128484</v>
      </c>
      <c r="E118" s="60">
        <f t="shared" si="1"/>
        <v>-128484</v>
      </c>
    </row>
    <row r="119" spans="1:25" x14ac:dyDescent="0.25">
      <c r="A119" s="60">
        <v>21</v>
      </c>
      <c r="B119" s="60" t="s">
        <v>117</v>
      </c>
      <c r="C119" s="60">
        <v>230</v>
      </c>
      <c r="D119" s="60">
        <v>0</v>
      </c>
      <c r="E119" s="60">
        <f t="shared" si="1"/>
        <v>0</v>
      </c>
    </row>
    <row r="120" spans="1:25" x14ac:dyDescent="0.25">
      <c r="A120" s="60">
        <v>21</v>
      </c>
      <c r="B120" s="60" t="s">
        <v>117</v>
      </c>
      <c r="C120" s="60">
        <v>298</v>
      </c>
      <c r="D120" s="60">
        <v>0</v>
      </c>
      <c r="E120" s="60">
        <f t="shared" si="1"/>
        <v>0</v>
      </c>
    </row>
    <row r="121" spans="1:25" x14ac:dyDescent="0.25">
      <c r="A121" s="60">
        <v>21</v>
      </c>
      <c r="B121" s="60" t="s">
        <v>118</v>
      </c>
      <c r="C121" s="60">
        <v>1</v>
      </c>
      <c r="D121" s="60">
        <v>1292119</v>
      </c>
      <c r="E121" s="60">
        <f t="shared" si="1"/>
        <v>1292119</v>
      </c>
    </row>
    <row r="122" spans="1:25" x14ac:dyDescent="0.25">
      <c r="A122" s="60">
        <v>21</v>
      </c>
      <c r="B122" s="60" t="s">
        <v>118</v>
      </c>
      <c r="C122" s="60">
        <v>10</v>
      </c>
      <c r="D122" s="60">
        <v>1586980</v>
      </c>
      <c r="E122" s="60">
        <f t="shared" si="1"/>
        <v>1586980</v>
      </c>
    </row>
    <row r="123" spans="1:25" x14ac:dyDescent="0.25">
      <c r="A123" s="60">
        <v>21</v>
      </c>
      <c r="B123" s="60" t="s">
        <v>118</v>
      </c>
      <c r="C123" s="60">
        <v>20</v>
      </c>
      <c r="D123" s="60">
        <v>80901</v>
      </c>
      <c r="E123" s="60">
        <f t="shared" si="1"/>
        <v>80901</v>
      </c>
    </row>
    <row r="124" spans="1:25" x14ac:dyDescent="0.25">
      <c r="A124" s="60">
        <v>21</v>
      </c>
      <c r="B124" s="60" t="s">
        <v>118</v>
      </c>
      <c r="C124" s="60">
        <v>50</v>
      </c>
      <c r="D124" s="60">
        <v>0</v>
      </c>
      <c r="E124" s="60">
        <f t="shared" si="1"/>
        <v>0</v>
      </c>
    </row>
    <row r="125" spans="1:25" x14ac:dyDescent="0.25">
      <c r="A125" s="60">
        <v>21</v>
      </c>
      <c r="B125" s="60" t="s">
        <v>118</v>
      </c>
      <c r="C125" s="60">
        <v>70</v>
      </c>
      <c r="D125" s="60">
        <v>0</v>
      </c>
      <c r="E125" s="60">
        <f t="shared" si="1"/>
        <v>0</v>
      </c>
    </row>
    <row r="126" spans="1:25" x14ac:dyDescent="0.25">
      <c r="A126" s="60">
        <v>21</v>
      </c>
      <c r="B126" s="60" t="s">
        <v>118</v>
      </c>
      <c r="C126" s="60">
        <v>100</v>
      </c>
      <c r="D126" s="60">
        <v>0</v>
      </c>
      <c r="E126" s="60">
        <f t="shared" si="1"/>
        <v>0</v>
      </c>
    </row>
    <row r="127" spans="1:25" x14ac:dyDescent="0.25">
      <c r="A127" s="60">
        <v>21</v>
      </c>
      <c r="B127" s="60" t="s">
        <v>118</v>
      </c>
      <c r="C127" s="60">
        <v>110</v>
      </c>
      <c r="D127" s="60">
        <v>1075760</v>
      </c>
      <c r="E127" s="60">
        <f t="shared" si="1"/>
        <v>-1075760</v>
      </c>
    </row>
    <row r="128" spans="1:25" x14ac:dyDescent="0.25">
      <c r="A128" s="60">
        <v>21</v>
      </c>
      <c r="B128" s="60" t="s">
        <v>118</v>
      </c>
      <c r="C128" s="60">
        <v>120</v>
      </c>
      <c r="D128" s="60">
        <v>0</v>
      </c>
      <c r="E128" s="60">
        <f t="shared" si="1"/>
        <v>0</v>
      </c>
    </row>
    <row r="129" spans="1:5" x14ac:dyDescent="0.25">
      <c r="A129" s="60">
        <v>21</v>
      </c>
      <c r="B129" s="60" t="s">
        <v>118</v>
      </c>
      <c r="C129" s="60">
        <v>130</v>
      </c>
      <c r="D129" s="60">
        <v>0</v>
      </c>
      <c r="E129" s="60">
        <f t="shared" si="1"/>
        <v>0</v>
      </c>
    </row>
    <row r="130" spans="1:5" x14ac:dyDescent="0.25">
      <c r="A130" s="60">
        <v>21</v>
      </c>
      <c r="B130" s="60" t="s">
        <v>118</v>
      </c>
      <c r="C130" s="60">
        <v>140</v>
      </c>
      <c r="D130" s="60">
        <v>0</v>
      </c>
      <c r="E130" s="60">
        <f t="shared" ref="E130:E193" si="2">IF(C130&lt;100,D130,D130*-1)</f>
        <v>0</v>
      </c>
    </row>
    <row r="131" spans="1:5" x14ac:dyDescent="0.25">
      <c r="A131" s="60">
        <v>21</v>
      </c>
      <c r="B131" s="60" t="s">
        <v>118</v>
      </c>
      <c r="C131" s="60">
        <v>141</v>
      </c>
      <c r="D131" s="60">
        <v>308000</v>
      </c>
      <c r="E131" s="60">
        <f t="shared" si="2"/>
        <v>-308000</v>
      </c>
    </row>
    <row r="132" spans="1:5" x14ac:dyDescent="0.25">
      <c r="A132" s="60">
        <v>21</v>
      </c>
      <c r="B132" s="60" t="s">
        <v>118</v>
      </c>
      <c r="C132" s="60">
        <v>200</v>
      </c>
      <c r="D132" s="60">
        <v>7881</v>
      </c>
      <c r="E132" s="60">
        <f t="shared" si="2"/>
        <v>-7881</v>
      </c>
    </row>
    <row r="133" spans="1:5" x14ac:dyDescent="0.25">
      <c r="A133" s="60">
        <v>21</v>
      </c>
      <c r="B133" s="60" t="s">
        <v>118</v>
      </c>
      <c r="C133" s="60">
        <v>210</v>
      </c>
      <c r="D133" s="60">
        <v>0</v>
      </c>
      <c r="E133" s="60">
        <f t="shared" si="2"/>
        <v>0</v>
      </c>
    </row>
    <row r="134" spans="1:5" x14ac:dyDescent="0.25">
      <c r="A134" s="60">
        <v>21</v>
      </c>
      <c r="B134" s="60" t="s">
        <v>118</v>
      </c>
      <c r="C134" s="60">
        <v>220</v>
      </c>
      <c r="D134" s="60">
        <v>0</v>
      </c>
      <c r="E134" s="60">
        <f t="shared" si="2"/>
        <v>0</v>
      </c>
    </row>
    <row r="135" spans="1:5" x14ac:dyDescent="0.25">
      <c r="A135" s="60">
        <v>21</v>
      </c>
      <c r="B135" s="60" t="s">
        <v>118</v>
      </c>
      <c r="C135" s="60">
        <v>230</v>
      </c>
      <c r="D135" s="60">
        <v>22141</v>
      </c>
      <c r="E135" s="60">
        <f t="shared" si="2"/>
        <v>-22141</v>
      </c>
    </row>
    <row r="136" spans="1:5" x14ac:dyDescent="0.25">
      <c r="A136" s="60">
        <v>21</v>
      </c>
      <c r="B136" s="60" t="s">
        <v>118</v>
      </c>
      <c r="C136" s="60">
        <v>260</v>
      </c>
      <c r="D136" s="60">
        <v>0</v>
      </c>
      <c r="E136" s="60">
        <f t="shared" si="2"/>
        <v>0</v>
      </c>
    </row>
    <row r="137" spans="1:5" x14ac:dyDescent="0.25">
      <c r="A137" s="60">
        <v>21</v>
      </c>
      <c r="B137" s="60" t="s">
        <v>118</v>
      </c>
      <c r="C137" s="60">
        <v>298</v>
      </c>
      <c r="D137" s="60">
        <v>0</v>
      </c>
      <c r="E137" s="60">
        <f t="shared" si="2"/>
        <v>0</v>
      </c>
    </row>
    <row r="138" spans="1:5" x14ac:dyDescent="0.25">
      <c r="A138" s="60">
        <v>21</v>
      </c>
      <c r="B138" s="60" t="s">
        <v>119</v>
      </c>
      <c r="C138" s="60">
        <v>1</v>
      </c>
      <c r="D138" s="60">
        <v>5439215</v>
      </c>
      <c r="E138" s="60">
        <f t="shared" si="2"/>
        <v>5439215</v>
      </c>
    </row>
    <row r="139" spans="1:5" x14ac:dyDescent="0.25">
      <c r="A139" s="60">
        <v>21</v>
      </c>
      <c r="B139" s="60" t="s">
        <v>119</v>
      </c>
      <c r="C139" s="60">
        <v>10</v>
      </c>
      <c r="D139" s="60">
        <v>5884240</v>
      </c>
      <c r="E139" s="60">
        <f t="shared" si="2"/>
        <v>5884240</v>
      </c>
    </row>
    <row r="140" spans="1:5" x14ac:dyDescent="0.25">
      <c r="A140" s="60">
        <v>21</v>
      </c>
      <c r="B140" s="60" t="s">
        <v>119</v>
      </c>
      <c r="C140" s="60">
        <v>20</v>
      </c>
      <c r="D140" s="60">
        <v>0</v>
      </c>
      <c r="E140" s="60">
        <f t="shared" si="2"/>
        <v>0</v>
      </c>
    </row>
    <row r="141" spans="1:5" x14ac:dyDescent="0.25">
      <c r="A141" s="60">
        <v>21</v>
      </c>
      <c r="B141" s="60" t="s">
        <v>119</v>
      </c>
      <c r="C141" s="60">
        <v>50</v>
      </c>
      <c r="D141" s="60">
        <v>953940</v>
      </c>
      <c r="E141" s="60">
        <f t="shared" si="2"/>
        <v>953940</v>
      </c>
    </row>
    <row r="142" spans="1:5" x14ac:dyDescent="0.25">
      <c r="A142" s="60">
        <v>21</v>
      </c>
      <c r="B142" s="60" t="s">
        <v>119</v>
      </c>
      <c r="C142" s="60">
        <v>70</v>
      </c>
      <c r="D142" s="60">
        <v>0</v>
      </c>
      <c r="E142" s="60">
        <f t="shared" si="2"/>
        <v>0</v>
      </c>
    </row>
    <row r="143" spans="1:5" x14ac:dyDescent="0.25">
      <c r="A143" s="60">
        <v>21</v>
      </c>
      <c r="B143" s="60" t="s">
        <v>119</v>
      </c>
      <c r="C143" s="60">
        <v>110</v>
      </c>
      <c r="D143" s="60">
        <v>5687160</v>
      </c>
      <c r="E143" s="60">
        <f t="shared" si="2"/>
        <v>-5687160</v>
      </c>
    </row>
    <row r="144" spans="1:5" x14ac:dyDescent="0.25">
      <c r="A144" s="60">
        <v>21</v>
      </c>
      <c r="B144" s="60" t="s">
        <v>119</v>
      </c>
      <c r="C144" s="60">
        <v>120</v>
      </c>
      <c r="D144" s="60">
        <v>0</v>
      </c>
      <c r="E144" s="60">
        <f t="shared" si="2"/>
        <v>0</v>
      </c>
    </row>
    <row r="145" spans="1:5" x14ac:dyDescent="0.25">
      <c r="A145" s="60">
        <v>21</v>
      </c>
      <c r="B145" s="60" t="s">
        <v>119</v>
      </c>
      <c r="C145" s="60">
        <v>130</v>
      </c>
      <c r="D145" s="60">
        <v>0</v>
      </c>
      <c r="E145" s="60">
        <f t="shared" si="2"/>
        <v>0</v>
      </c>
    </row>
    <row r="146" spans="1:5" x14ac:dyDescent="0.25">
      <c r="A146" s="60">
        <v>21</v>
      </c>
      <c r="B146" s="60" t="s">
        <v>119</v>
      </c>
      <c r="C146" s="60">
        <v>140</v>
      </c>
      <c r="D146" s="60">
        <v>0</v>
      </c>
      <c r="E146" s="60">
        <f t="shared" si="2"/>
        <v>0</v>
      </c>
    </row>
    <row r="147" spans="1:5" x14ac:dyDescent="0.25">
      <c r="A147" s="60">
        <v>21</v>
      </c>
      <c r="B147" s="60" t="s">
        <v>119</v>
      </c>
      <c r="C147" s="60">
        <v>141</v>
      </c>
      <c r="D147" s="60">
        <v>220340</v>
      </c>
      <c r="E147" s="60">
        <f t="shared" si="2"/>
        <v>-220340</v>
      </c>
    </row>
    <row r="148" spans="1:5" x14ac:dyDescent="0.25">
      <c r="A148" s="60">
        <v>21</v>
      </c>
      <c r="B148" s="60" t="s">
        <v>119</v>
      </c>
      <c r="C148" s="60">
        <v>200</v>
      </c>
      <c r="D148" s="60">
        <v>26761</v>
      </c>
      <c r="E148" s="60">
        <f t="shared" si="2"/>
        <v>-26761</v>
      </c>
    </row>
    <row r="149" spans="1:5" x14ac:dyDescent="0.25">
      <c r="A149" s="60">
        <v>21</v>
      </c>
      <c r="B149" s="60" t="s">
        <v>119</v>
      </c>
      <c r="C149" s="60">
        <v>210</v>
      </c>
      <c r="D149" s="60">
        <v>13628</v>
      </c>
      <c r="E149" s="60">
        <f t="shared" si="2"/>
        <v>-13628</v>
      </c>
    </row>
    <row r="150" spans="1:5" x14ac:dyDescent="0.25">
      <c r="A150" s="60">
        <v>21</v>
      </c>
      <c r="B150" s="60" t="s">
        <v>119</v>
      </c>
      <c r="C150" s="60">
        <v>220</v>
      </c>
      <c r="D150" s="60">
        <v>0</v>
      </c>
      <c r="E150" s="60">
        <f t="shared" si="2"/>
        <v>0</v>
      </c>
    </row>
    <row r="151" spans="1:5" x14ac:dyDescent="0.25">
      <c r="A151" s="60">
        <v>21</v>
      </c>
      <c r="B151" s="60" t="s">
        <v>119</v>
      </c>
      <c r="C151" s="60">
        <v>230</v>
      </c>
      <c r="D151" s="60">
        <v>14886</v>
      </c>
      <c r="E151" s="60">
        <f t="shared" si="2"/>
        <v>-14886</v>
      </c>
    </row>
    <row r="152" spans="1:5" x14ac:dyDescent="0.25">
      <c r="A152" s="60">
        <v>21</v>
      </c>
      <c r="B152" s="60" t="s">
        <v>119</v>
      </c>
      <c r="C152" s="60">
        <v>270</v>
      </c>
      <c r="D152" s="60">
        <v>0</v>
      </c>
      <c r="E152" s="60">
        <f t="shared" si="2"/>
        <v>0</v>
      </c>
    </row>
    <row r="153" spans="1:5" x14ac:dyDescent="0.25">
      <c r="A153" s="60">
        <v>21</v>
      </c>
      <c r="B153" s="60" t="s">
        <v>119</v>
      </c>
      <c r="C153" s="60">
        <v>298</v>
      </c>
      <c r="D153" s="60">
        <v>0</v>
      </c>
      <c r="E153" s="60">
        <f t="shared" si="2"/>
        <v>0</v>
      </c>
    </row>
    <row r="154" spans="1:5" x14ac:dyDescent="0.25">
      <c r="A154" s="60">
        <v>21</v>
      </c>
      <c r="B154" s="60" t="s">
        <v>120</v>
      </c>
      <c r="C154" s="60">
        <v>1</v>
      </c>
      <c r="D154" s="60">
        <v>12424754</v>
      </c>
      <c r="E154" s="60">
        <f t="shared" si="2"/>
        <v>12424754</v>
      </c>
    </row>
    <row r="155" spans="1:5" x14ac:dyDescent="0.25">
      <c r="A155" s="60">
        <v>21</v>
      </c>
      <c r="B155" s="60" t="s">
        <v>120</v>
      </c>
      <c r="C155" s="60">
        <v>10</v>
      </c>
      <c r="D155" s="60">
        <v>11956460</v>
      </c>
      <c r="E155" s="60">
        <f t="shared" si="2"/>
        <v>11956460</v>
      </c>
    </row>
    <row r="156" spans="1:5" x14ac:dyDescent="0.25">
      <c r="A156" s="60">
        <v>21</v>
      </c>
      <c r="B156" s="60" t="s">
        <v>120</v>
      </c>
      <c r="C156" s="60">
        <v>50</v>
      </c>
      <c r="D156" s="60">
        <v>0</v>
      </c>
      <c r="E156" s="60">
        <f t="shared" si="2"/>
        <v>0</v>
      </c>
    </row>
    <row r="157" spans="1:5" x14ac:dyDescent="0.25">
      <c r="A157" s="60">
        <v>21</v>
      </c>
      <c r="B157" s="60" t="s">
        <v>120</v>
      </c>
      <c r="C157" s="60">
        <v>70</v>
      </c>
      <c r="D157" s="60">
        <v>0</v>
      </c>
      <c r="E157" s="60">
        <f t="shared" si="2"/>
        <v>0</v>
      </c>
    </row>
    <row r="158" spans="1:5" x14ac:dyDescent="0.25">
      <c r="A158" s="60">
        <v>21</v>
      </c>
      <c r="B158" s="60" t="s">
        <v>120</v>
      </c>
      <c r="C158" s="60">
        <v>110</v>
      </c>
      <c r="D158" s="60">
        <v>2795580</v>
      </c>
      <c r="E158" s="60">
        <f t="shared" si="2"/>
        <v>-2795580</v>
      </c>
    </row>
    <row r="159" spans="1:5" x14ac:dyDescent="0.25">
      <c r="A159" s="60">
        <v>21</v>
      </c>
      <c r="B159" s="60" t="s">
        <v>120</v>
      </c>
      <c r="C159" s="60">
        <v>120</v>
      </c>
      <c r="D159" s="60">
        <v>890780</v>
      </c>
      <c r="E159" s="60">
        <f t="shared" si="2"/>
        <v>-890780</v>
      </c>
    </row>
    <row r="160" spans="1:5" x14ac:dyDescent="0.25">
      <c r="A160" s="60">
        <v>21</v>
      </c>
      <c r="B160" s="60" t="s">
        <v>120</v>
      </c>
      <c r="C160" s="60">
        <v>130</v>
      </c>
      <c r="D160" s="60">
        <v>1660</v>
      </c>
      <c r="E160" s="60">
        <f t="shared" si="2"/>
        <v>-1660</v>
      </c>
    </row>
    <row r="161" spans="1:5" x14ac:dyDescent="0.25">
      <c r="A161" s="60">
        <v>21</v>
      </c>
      <c r="B161" s="60" t="s">
        <v>120</v>
      </c>
      <c r="C161" s="60">
        <v>140</v>
      </c>
      <c r="D161" s="60">
        <v>0</v>
      </c>
      <c r="E161" s="60">
        <f t="shared" si="2"/>
        <v>0</v>
      </c>
    </row>
    <row r="162" spans="1:5" x14ac:dyDescent="0.25">
      <c r="A162" s="60">
        <v>21</v>
      </c>
      <c r="B162" s="60" t="s">
        <v>120</v>
      </c>
      <c r="C162" s="60">
        <v>141</v>
      </c>
      <c r="D162" s="60">
        <v>11781520</v>
      </c>
      <c r="E162" s="60">
        <f t="shared" si="2"/>
        <v>-11781520</v>
      </c>
    </row>
    <row r="163" spans="1:5" x14ac:dyDescent="0.25">
      <c r="A163" s="60">
        <v>21</v>
      </c>
      <c r="B163" s="60" t="s">
        <v>120</v>
      </c>
      <c r="C163" s="60">
        <v>160</v>
      </c>
      <c r="D163" s="60">
        <v>0</v>
      </c>
      <c r="E163" s="60">
        <f t="shared" si="2"/>
        <v>0</v>
      </c>
    </row>
    <row r="164" spans="1:5" x14ac:dyDescent="0.25">
      <c r="A164" s="60">
        <v>21</v>
      </c>
      <c r="B164" s="60" t="s">
        <v>120</v>
      </c>
      <c r="C164" s="60">
        <v>200</v>
      </c>
      <c r="D164" s="60">
        <v>116873</v>
      </c>
      <c r="E164" s="60">
        <f t="shared" si="2"/>
        <v>-116873</v>
      </c>
    </row>
    <row r="165" spans="1:5" x14ac:dyDescent="0.25">
      <c r="A165" s="60">
        <v>21</v>
      </c>
      <c r="B165" s="60" t="s">
        <v>120</v>
      </c>
      <c r="C165" s="60">
        <v>210</v>
      </c>
      <c r="D165" s="60">
        <v>2611</v>
      </c>
      <c r="E165" s="60">
        <f t="shared" si="2"/>
        <v>-2611</v>
      </c>
    </row>
    <row r="166" spans="1:5" x14ac:dyDescent="0.25">
      <c r="A166" s="60">
        <v>21</v>
      </c>
      <c r="B166" s="60" t="s">
        <v>120</v>
      </c>
      <c r="C166" s="60">
        <v>220</v>
      </c>
      <c r="D166" s="60">
        <v>0</v>
      </c>
      <c r="E166" s="60">
        <f t="shared" si="2"/>
        <v>0</v>
      </c>
    </row>
    <row r="167" spans="1:5" x14ac:dyDescent="0.25">
      <c r="A167" s="60">
        <v>21</v>
      </c>
      <c r="B167" s="60" t="s">
        <v>120</v>
      </c>
      <c r="C167" s="60">
        <v>230</v>
      </c>
      <c r="D167" s="60">
        <v>25884</v>
      </c>
      <c r="E167" s="60">
        <f t="shared" si="2"/>
        <v>-25884</v>
      </c>
    </row>
    <row r="168" spans="1:5" x14ac:dyDescent="0.25">
      <c r="A168" s="60">
        <v>21</v>
      </c>
      <c r="B168" s="60" t="s">
        <v>120</v>
      </c>
      <c r="C168" s="60">
        <v>260</v>
      </c>
      <c r="D168" s="60">
        <v>0</v>
      </c>
      <c r="E168" s="60">
        <f t="shared" si="2"/>
        <v>0</v>
      </c>
    </row>
    <row r="169" spans="1:5" x14ac:dyDescent="0.25">
      <c r="A169" s="60">
        <v>21</v>
      </c>
      <c r="B169" s="60" t="s">
        <v>120</v>
      </c>
      <c r="C169" s="60">
        <v>298</v>
      </c>
      <c r="D169" s="60">
        <v>0</v>
      </c>
      <c r="E169" s="60">
        <f t="shared" si="2"/>
        <v>0</v>
      </c>
    </row>
    <row r="170" spans="1:5" x14ac:dyDescent="0.25">
      <c r="A170" s="60">
        <v>31</v>
      </c>
      <c r="B170" s="60" t="s">
        <v>117</v>
      </c>
      <c r="C170" s="60">
        <v>1</v>
      </c>
      <c r="D170" s="60">
        <v>68782178</v>
      </c>
      <c r="E170" s="60">
        <f t="shared" si="2"/>
        <v>68782178</v>
      </c>
    </row>
    <row r="171" spans="1:5" x14ac:dyDescent="0.25">
      <c r="A171" s="60">
        <v>31</v>
      </c>
      <c r="B171" s="60" t="s">
        <v>117</v>
      </c>
      <c r="C171" s="60">
        <v>10</v>
      </c>
      <c r="D171" s="60">
        <v>112200720</v>
      </c>
      <c r="E171" s="60">
        <f t="shared" si="2"/>
        <v>112200720</v>
      </c>
    </row>
    <row r="172" spans="1:5" x14ac:dyDescent="0.25">
      <c r="A172" s="60">
        <v>31</v>
      </c>
      <c r="B172" s="60" t="s">
        <v>117</v>
      </c>
      <c r="C172" s="60">
        <v>20</v>
      </c>
      <c r="D172" s="60">
        <v>0</v>
      </c>
      <c r="E172" s="60">
        <f t="shared" si="2"/>
        <v>0</v>
      </c>
    </row>
    <row r="173" spans="1:5" x14ac:dyDescent="0.25">
      <c r="A173" s="60">
        <v>31</v>
      </c>
      <c r="B173" s="60" t="s">
        <v>117</v>
      </c>
      <c r="C173" s="60">
        <v>50</v>
      </c>
      <c r="D173" s="60">
        <v>0</v>
      </c>
      <c r="E173" s="60">
        <f t="shared" si="2"/>
        <v>0</v>
      </c>
    </row>
    <row r="174" spans="1:5" x14ac:dyDescent="0.25">
      <c r="A174" s="60">
        <v>31</v>
      </c>
      <c r="B174" s="60" t="s">
        <v>117</v>
      </c>
      <c r="C174" s="60">
        <v>60</v>
      </c>
      <c r="D174" s="60">
        <v>0</v>
      </c>
      <c r="E174" s="60">
        <f t="shared" si="2"/>
        <v>0</v>
      </c>
    </row>
    <row r="175" spans="1:5" x14ac:dyDescent="0.25">
      <c r="A175" s="60">
        <v>31</v>
      </c>
      <c r="B175" s="60" t="s">
        <v>117</v>
      </c>
      <c r="C175" s="60">
        <v>70</v>
      </c>
      <c r="D175" s="60">
        <v>0</v>
      </c>
      <c r="E175" s="60">
        <f t="shared" si="2"/>
        <v>0</v>
      </c>
    </row>
    <row r="176" spans="1:5" x14ac:dyDescent="0.25">
      <c r="A176" s="60">
        <v>31</v>
      </c>
      <c r="B176" s="60" t="s">
        <v>117</v>
      </c>
      <c r="C176" s="60">
        <v>100</v>
      </c>
      <c r="D176" s="60">
        <v>0</v>
      </c>
      <c r="E176" s="60">
        <f t="shared" si="2"/>
        <v>0</v>
      </c>
    </row>
    <row r="177" spans="1:5" x14ac:dyDescent="0.25">
      <c r="A177" s="60">
        <v>31</v>
      </c>
      <c r="B177" s="60" t="s">
        <v>117</v>
      </c>
      <c r="C177" s="60">
        <v>110</v>
      </c>
      <c r="D177" s="60">
        <v>116680</v>
      </c>
      <c r="E177" s="60">
        <f t="shared" si="2"/>
        <v>-116680</v>
      </c>
    </row>
    <row r="178" spans="1:5" x14ac:dyDescent="0.25">
      <c r="A178" s="60">
        <v>31</v>
      </c>
      <c r="B178" s="60" t="s">
        <v>117</v>
      </c>
      <c r="C178" s="60">
        <v>120</v>
      </c>
      <c r="D178" s="60">
        <v>0</v>
      </c>
      <c r="E178" s="60">
        <f t="shared" si="2"/>
        <v>0</v>
      </c>
    </row>
    <row r="179" spans="1:5" x14ac:dyDescent="0.25">
      <c r="A179" s="60">
        <v>31</v>
      </c>
      <c r="B179" s="60" t="s">
        <v>117</v>
      </c>
      <c r="C179" s="60">
        <v>130</v>
      </c>
      <c r="D179" s="60">
        <v>0</v>
      </c>
      <c r="E179" s="60">
        <f t="shared" si="2"/>
        <v>0</v>
      </c>
    </row>
    <row r="180" spans="1:5" x14ac:dyDescent="0.25">
      <c r="A180" s="60">
        <v>31</v>
      </c>
      <c r="B180" s="60" t="s">
        <v>117</v>
      </c>
      <c r="C180" s="60">
        <v>140</v>
      </c>
      <c r="D180" s="60">
        <v>26214240</v>
      </c>
      <c r="E180" s="60">
        <f t="shared" si="2"/>
        <v>-26214240</v>
      </c>
    </row>
    <row r="181" spans="1:5" x14ac:dyDescent="0.25">
      <c r="A181" s="60">
        <v>31</v>
      </c>
      <c r="B181" s="60" t="s">
        <v>117</v>
      </c>
      <c r="C181" s="60">
        <v>141</v>
      </c>
      <c r="D181" s="60">
        <v>61023380</v>
      </c>
      <c r="E181" s="60">
        <f t="shared" si="2"/>
        <v>-61023380</v>
      </c>
    </row>
    <row r="182" spans="1:5" x14ac:dyDescent="0.25">
      <c r="A182" s="60">
        <v>31</v>
      </c>
      <c r="B182" s="60" t="s">
        <v>117</v>
      </c>
      <c r="C182" s="60">
        <v>200</v>
      </c>
      <c r="D182" s="60">
        <v>558069</v>
      </c>
      <c r="E182" s="60">
        <f t="shared" si="2"/>
        <v>-558069</v>
      </c>
    </row>
    <row r="183" spans="1:5" x14ac:dyDescent="0.25">
      <c r="A183" s="60">
        <v>31</v>
      </c>
      <c r="B183" s="60" t="s">
        <v>117</v>
      </c>
      <c r="C183" s="60">
        <v>210</v>
      </c>
      <c r="D183" s="60">
        <v>610747</v>
      </c>
      <c r="E183" s="60">
        <f t="shared" si="2"/>
        <v>-610747</v>
      </c>
    </row>
    <row r="184" spans="1:5" x14ac:dyDescent="0.25">
      <c r="A184" s="60">
        <v>31</v>
      </c>
      <c r="B184" s="60" t="s">
        <v>117</v>
      </c>
      <c r="C184" s="60">
        <v>220</v>
      </c>
      <c r="D184" s="60">
        <v>0</v>
      </c>
      <c r="E184" s="60">
        <f t="shared" si="2"/>
        <v>0</v>
      </c>
    </row>
    <row r="185" spans="1:5" x14ac:dyDescent="0.25">
      <c r="A185" s="60">
        <v>31</v>
      </c>
      <c r="B185" s="60" t="s">
        <v>117</v>
      </c>
      <c r="C185" s="60">
        <v>230</v>
      </c>
      <c r="D185" s="60">
        <v>0</v>
      </c>
      <c r="E185" s="60">
        <f t="shared" si="2"/>
        <v>0</v>
      </c>
    </row>
    <row r="186" spans="1:5" x14ac:dyDescent="0.25">
      <c r="A186" s="60">
        <v>31</v>
      </c>
      <c r="B186" s="60" t="s">
        <v>117</v>
      </c>
      <c r="C186" s="60">
        <v>298</v>
      </c>
      <c r="D186" s="60">
        <v>0</v>
      </c>
      <c r="E186" s="60">
        <f t="shared" si="2"/>
        <v>0</v>
      </c>
    </row>
    <row r="187" spans="1:5" x14ac:dyDescent="0.25">
      <c r="A187" s="60">
        <v>31</v>
      </c>
      <c r="B187" s="60" t="s">
        <v>118</v>
      </c>
      <c r="C187" s="60">
        <v>1</v>
      </c>
      <c r="D187" s="60">
        <v>8980787</v>
      </c>
      <c r="E187" s="60">
        <f t="shared" si="2"/>
        <v>8980787</v>
      </c>
    </row>
    <row r="188" spans="1:5" x14ac:dyDescent="0.25">
      <c r="A188" s="60">
        <v>31</v>
      </c>
      <c r="B188" s="60" t="s">
        <v>118</v>
      </c>
      <c r="C188" s="60">
        <v>10</v>
      </c>
      <c r="D188" s="60">
        <v>21838580</v>
      </c>
      <c r="E188" s="60">
        <f t="shared" si="2"/>
        <v>21838580</v>
      </c>
    </row>
    <row r="189" spans="1:5" x14ac:dyDescent="0.25">
      <c r="A189" s="60">
        <v>31</v>
      </c>
      <c r="B189" s="60" t="s">
        <v>118</v>
      </c>
      <c r="C189" s="60">
        <v>20</v>
      </c>
      <c r="D189" s="60">
        <v>0</v>
      </c>
      <c r="E189" s="60">
        <f t="shared" si="2"/>
        <v>0</v>
      </c>
    </row>
    <row r="190" spans="1:5" x14ac:dyDescent="0.25">
      <c r="A190" s="60">
        <v>31</v>
      </c>
      <c r="B190" s="60" t="s">
        <v>118</v>
      </c>
      <c r="C190" s="60">
        <v>50</v>
      </c>
      <c r="D190" s="60">
        <v>0</v>
      </c>
      <c r="E190" s="60">
        <f t="shared" si="2"/>
        <v>0</v>
      </c>
    </row>
    <row r="191" spans="1:5" x14ac:dyDescent="0.25">
      <c r="A191" s="60">
        <v>31</v>
      </c>
      <c r="B191" s="60" t="s">
        <v>118</v>
      </c>
      <c r="C191" s="60">
        <v>70</v>
      </c>
      <c r="D191" s="60">
        <v>0</v>
      </c>
      <c r="E191" s="60">
        <f t="shared" si="2"/>
        <v>0</v>
      </c>
    </row>
    <row r="192" spans="1:5" x14ac:dyDescent="0.25">
      <c r="A192" s="60">
        <v>31</v>
      </c>
      <c r="B192" s="60" t="s">
        <v>118</v>
      </c>
      <c r="C192" s="60">
        <v>100</v>
      </c>
      <c r="D192" s="60">
        <v>0</v>
      </c>
      <c r="E192" s="60">
        <f t="shared" si="2"/>
        <v>0</v>
      </c>
    </row>
    <row r="193" spans="1:5" x14ac:dyDescent="0.25">
      <c r="A193" s="60">
        <v>31</v>
      </c>
      <c r="B193" s="60" t="s">
        <v>118</v>
      </c>
      <c r="C193" s="60">
        <v>110</v>
      </c>
      <c r="D193" s="60">
        <v>10147700</v>
      </c>
      <c r="E193" s="60">
        <f t="shared" si="2"/>
        <v>-10147700</v>
      </c>
    </row>
    <row r="194" spans="1:5" x14ac:dyDescent="0.25">
      <c r="A194" s="60">
        <v>31</v>
      </c>
      <c r="B194" s="60" t="s">
        <v>118</v>
      </c>
      <c r="C194" s="60">
        <v>120</v>
      </c>
      <c r="D194" s="60">
        <v>940</v>
      </c>
      <c r="E194" s="60">
        <f t="shared" ref="E194:E257" si="3">IF(C194&lt;100,D194,D194*-1)</f>
        <v>-940</v>
      </c>
    </row>
    <row r="195" spans="1:5" x14ac:dyDescent="0.25">
      <c r="A195" s="60">
        <v>31</v>
      </c>
      <c r="B195" s="60" t="s">
        <v>118</v>
      </c>
      <c r="C195" s="60">
        <v>130</v>
      </c>
      <c r="D195" s="60">
        <v>0</v>
      </c>
      <c r="E195" s="60">
        <f t="shared" si="3"/>
        <v>0</v>
      </c>
    </row>
    <row r="196" spans="1:5" x14ac:dyDescent="0.25">
      <c r="A196" s="60">
        <v>31</v>
      </c>
      <c r="B196" s="60" t="s">
        <v>118</v>
      </c>
      <c r="C196" s="60">
        <v>140</v>
      </c>
      <c r="D196" s="60">
        <v>188700</v>
      </c>
      <c r="E196" s="60">
        <f t="shared" si="3"/>
        <v>-188700</v>
      </c>
    </row>
    <row r="197" spans="1:5" x14ac:dyDescent="0.25">
      <c r="A197" s="60">
        <v>31</v>
      </c>
      <c r="B197" s="60" t="s">
        <v>118</v>
      </c>
      <c r="C197" s="60">
        <v>141</v>
      </c>
      <c r="D197" s="60">
        <v>10590940</v>
      </c>
      <c r="E197" s="60">
        <f t="shared" si="3"/>
        <v>-10590940</v>
      </c>
    </row>
    <row r="198" spans="1:5" x14ac:dyDescent="0.25">
      <c r="A198" s="60">
        <v>31</v>
      </c>
      <c r="B198" s="60" t="s">
        <v>118</v>
      </c>
      <c r="C198" s="60">
        <v>160</v>
      </c>
      <c r="D198" s="60">
        <v>0</v>
      </c>
      <c r="E198" s="60">
        <f t="shared" si="3"/>
        <v>0</v>
      </c>
    </row>
    <row r="199" spans="1:5" x14ac:dyDescent="0.25">
      <c r="A199" s="60">
        <v>31</v>
      </c>
      <c r="B199" s="60" t="s">
        <v>118</v>
      </c>
      <c r="C199" s="60">
        <v>200</v>
      </c>
      <c r="D199" s="60">
        <v>108921</v>
      </c>
      <c r="E199" s="60">
        <f t="shared" si="3"/>
        <v>-108921</v>
      </c>
    </row>
    <row r="200" spans="1:5" x14ac:dyDescent="0.25">
      <c r="A200" s="60">
        <v>31</v>
      </c>
      <c r="B200" s="60" t="s">
        <v>118</v>
      </c>
      <c r="C200" s="60">
        <v>210</v>
      </c>
      <c r="D200" s="60">
        <v>0</v>
      </c>
      <c r="E200" s="60">
        <f t="shared" si="3"/>
        <v>0</v>
      </c>
    </row>
    <row r="201" spans="1:5" x14ac:dyDescent="0.25">
      <c r="A201" s="60">
        <v>31</v>
      </c>
      <c r="B201" s="60" t="s">
        <v>118</v>
      </c>
      <c r="C201" s="60">
        <v>220</v>
      </c>
      <c r="D201" s="60">
        <v>116767</v>
      </c>
      <c r="E201" s="60">
        <f t="shared" si="3"/>
        <v>-116767</v>
      </c>
    </row>
    <row r="202" spans="1:5" x14ac:dyDescent="0.25">
      <c r="A202" s="60">
        <v>31</v>
      </c>
      <c r="B202" s="60" t="s">
        <v>118</v>
      </c>
      <c r="C202" s="60">
        <v>230</v>
      </c>
      <c r="D202" s="60">
        <v>477710</v>
      </c>
      <c r="E202" s="60">
        <f t="shared" si="3"/>
        <v>-477710</v>
      </c>
    </row>
    <row r="203" spans="1:5" x14ac:dyDescent="0.25">
      <c r="A203" s="60">
        <v>31</v>
      </c>
      <c r="B203" s="60" t="s">
        <v>118</v>
      </c>
      <c r="C203" s="60">
        <v>260</v>
      </c>
      <c r="D203" s="60">
        <v>0</v>
      </c>
      <c r="E203" s="60">
        <f t="shared" si="3"/>
        <v>0</v>
      </c>
    </row>
    <row r="204" spans="1:5" x14ac:dyDescent="0.25">
      <c r="A204" s="60">
        <v>31</v>
      </c>
      <c r="B204" s="60" t="s">
        <v>118</v>
      </c>
      <c r="C204" s="60">
        <v>270</v>
      </c>
      <c r="D204" s="60">
        <v>0</v>
      </c>
      <c r="E204" s="60">
        <f t="shared" si="3"/>
        <v>0</v>
      </c>
    </row>
    <row r="205" spans="1:5" x14ac:dyDescent="0.25">
      <c r="A205" s="60">
        <v>31</v>
      </c>
      <c r="B205" s="60" t="s">
        <v>118</v>
      </c>
      <c r="C205" s="60">
        <v>298</v>
      </c>
      <c r="D205" s="60">
        <v>0</v>
      </c>
      <c r="E205" s="60">
        <f t="shared" si="3"/>
        <v>0</v>
      </c>
    </row>
    <row r="206" spans="1:5" x14ac:dyDescent="0.25">
      <c r="A206" s="60">
        <v>31</v>
      </c>
      <c r="B206" s="60" t="s">
        <v>119</v>
      </c>
      <c r="C206" s="60">
        <v>1</v>
      </c>
      <c r="D206" s="60">
        <v>28401015</v>
      </c>
      <c r="E206" s="60">
        <f t="shared" si="3"/>
        <v>28401015</v>
      </c>
    </row>
    <row r="207" spans="1:5" x14ac:dyDescent="0.25">
      <c r="A207" s="60">
        <v>31</v>
      </c>
      <c r="B207" s="60" t="s">
        <v>119</v>
      </c>
      <c r="C207" s="60">
        <v>10</v>
      </c>
      <c r="D207" s="60">
        <v>42406414</v>
      </c>
      <c r="E207" s="60">
        <f t="shared" si="3"/>
        <v>42406414</v>
      </c>
    </row>
    <row r="208" spans="1:5" x14ac:dyDescent="0.25">
      <c r="A208" s="60">
        <v>31</v>
      </c>
      <c r="B208" s="60" t="s">
        <v>119</v>
      </c>
      <c r="C208" s="60">
        <v>20</v>
      </c>
      <c r="D208" s="60">
        <v>84145</v>
      </c>
      <c r="E208" s="60">
        <f t="shared" si="3"/>
        <v>84145</v>
      </c>
    </row>
    <row r="209" spans="1:5" x14ac:dyDescent="0.25">
      <c r="A209" s="60">
        <v>31</v>
      </c>
      <c r="B209" s="60" t="s">
        <v>119</v>
      </c>
      <c r="C209" s="60">
        <v>50</v>
      </c>
      <c r="D209" s="60">
        <v>6130380</v>
      </c>
      <c r="E209" s="60">
        <f t="shared" si="3"/>
        <v>6130380</v>
      </c>
    </row>
    <row r="210" spans="1:5" x14ac:dyDescent="0.25">
      <c r="A210" s="60">
        <v>31</v>
      </c>
      <c r="B210" s="60" t="s">
        <v>119</v>
      </c>
      <c r="C210" s="60">
        <v>70</v>
      </c>
      <c r="D210" s="60">
        <v>0</v>
      </c>
      <c r="E210" s="60">
        <f t="shared" si="3"/>
        <v>0</v>
      </c>
    </row>
    <row r="211" spans="1:5" x14ac:dyDescent="0.25">
      <c r="A211" s="60">
        <v>31</v>
      </c>
      <c r="B211" s="60" t="s">
        <v>119</v>
      </c>
      <c r="C211" s="60">
        <v>100</v>
      </c>
      <c r="D211" s="60">
        <v>0</v>
      </c>
      <c r="E211" s="60">
        <f t="shared" si="3"/>
        <v>0</v>
      </c>
    </row>
    <row r="212" spans="1:5" x14ac:dyDescent="0.25">
      <c r="A212" s="60">
        <v>31</v>
      </c>
      <c r="B212" s="60" t="s">
        <v>119</v>
      </c>
      <c r="C212" s="60">
        <v>110</v>
      </c>
      <c r="D212" s="60">
        <v>1519900</v>
      </c>
      <c r="E212" s="60">
        <f t="shared" si="3"/>
        <v>-1519900</v>
      </c>
    </row>
    <row r="213" spans="1:5" x14ac:dyDescent="0.25">
      <c r="A213" s="60">
        <v>31</v>
      </c>
      <c r="B213" s="60" t="s">
        <v>119</v>
      </c>
      <c r="C213" s="60">
        <v>120</v>
      </c>
      <c r="D213" s="60">
        <v>0</v>
      </c>
      <c r="E213" s="60">
        <f t="shared" si="3"/>
        <v>0</v>
      </c>
    </row>
    <row r="214" spans="1:5" x14ac:dyDescent="0.25">
      <c r="A214" s="60">
        <v>31</v>
      </c>
      <c r="B214" s="60" t="s">
        <v>119</v>
      </c>
      <c r="C214" s="60">
        <v>130</v>
      </c>
      <c r="D214" s="60">
        <v>0</v>
      </c>
      <c r="E214" s="60">
        <f t="shared" si="3"/>
        <v>0</v>
      </c>
    </row>
    <row r="215" spans="1:5" x14ac:dyDescent="0.25">
      <c r="A215" s="60">
        <v>31</v>
      </c>
      <c r="B215" s="60" t="s">
        <v>119</v>
      </c>
      <c r="C215" s="60">
        <v>140</v>
      </c>
      <c r="D215" s="60">
        <v>0</v>
      </c>
      <c r="E215" s="60">
        <f t="shared" si="3"/>
        <v>0</v>
      </c>
    </row>
    <row r="216" spans="1:5" x14ac:dyDescent="0.25">
      <c r="A216" s="60">
        <v>31</v>
      </c>
      <c r="B216" s="60" t="s">
        <v>119</v>
      </c>
      <c r="C216" s="60">
        <v>141</v>
      </c>
      <c r="D216" s="60">
        <v>26980140</v>
      </c>
      <c r="E216" s="60">
        <f t="shared" si="3"/>
        <v>-26980140</v>
      </c>
    </row>
    <row r="217" spans="1:5" x14ac:dyDescent="0.25">
      <c r="A217" s="60">
        <v>31</v>
      </c>
      <c r="B217" s="60" t="s">
        <v>119</v>
      </c>
      <c r="C217" s="60">
        <v>200</v>
      </c>
      <c r="D217" s="60">
        <v>211935</v>
      </c>
      <c r="E217" s="60">
        <f t="shared" si="3"/>
        <v>-211935</v>
      </c>
    </row>
    <row r="218" spans="1:5" x14ac:dyDescent="0.25">
      <c r="A218" s="60">
        <v>31</v>
      </c>
      <c r="B218" s="60" t="s">
        <v>119</v>
      </c>
      <c r="C218" s="60">
        <v>210</v>
      </c>
      <c r="D218" s="60">
        <v>59947</v>
      </c>
      <c r="E218" s="60">
        <f t="shared" si="3"/>
        <v>-59947</v>
      </c>
    </row>
    <row r="219" spans="1:5" x14ac:dyDescent="0.25">
      <c r="A219" s="60">
        <v>31</v>
      </c>
      <c r="B219" s="60" t="s">
        <v>119</v>
      </c>
      <c r="C219" s="60">
        <v>220</v>
      </c>
      <c r="D219" s="60">
        <v>0</v>
      </c>
      <c r="E219" s="60">
        <f t="shared" si="3"/>
        <v>0</v>
      </c>
    </row>
    <row r="220" spans="1:5" x14ac:dyDescent="0.25">
      <c r="A220" s="60">
        <v>31</v>
      </c>
      <c r="B220" s="60" t="s">
        <v>119</v>
      </c>
      <c r="C220" s="60">
        <v>230</v>
      </c>
      <c r="D220" s="60">
        <v>199313</v>
      </c>
      <c r="E220" s="60">
        <f t="shared" si="3"/>
        <v>-199313</v>
      </c>
    </row>
    <row r="221" spans="1:5" x14ac:dyDescent="0.25">
      <c r="A221" s="60">
        <v>31</v>
      </c>
      <c r="B221" s="60" t="s">
        <v>119</v>
      </c>
      <c r="C221" s="60">
        <v>270</v>
      </c>
      <c r="D221" s="60">
        <v>0</v>
      </c>
      <c r="E221" s="60">
        <f t="shared" si="3"/>
        <v>0</v>
      </c>
    </row>
    <row r="222" spans="1:5" x14ac:dyDescent="0.25">
      <c r="A222" s="60">
        <v>31</v>
      </c>
      <c r="B222" s="60" t="s">
        <v>119</v>
      </c>
      <c r="C222" s="60">
        <v>298</v>
      </c>
      <c r="D222" s="60">
        <v>0</v>
      </c>
      <c r="E222" s="60">
        <f t="shared" si="3"/>
        <v>0</v>
      </c>
    </row>
    <row r="223" spans="1:5" x14ac:dyDescent="0.25">
      <c r="A223" s="60">
        <v>31</v>
      </c>
      <c r="B223" s="60" t="s">
        <v>120</v>
      </c>
      <c r="C223" s="60">
        <v>1</v>
      </c>
      <c r="D223" s="60">
        <v>27609778</v>
      </c>
      <c r="E223" s="60">
        <f t="shared" si="3"/>
        <v>27609778</v>
      </c>
    </row>
    <row r="224" spans="1:5" x14ac:dyDescent="0.25">
      <c r="A224" s="60">
        <v>31</v>
      </c>
      <c r="B224" s="60" t="s">
        <v>120</v>
      </c>
      <c r="C224" s="60">
        <v>10</v>
      </c>
      <c r="D224" s="60">
        <v>55953420</v>
      </c>
      <c r="E224" s="60">
        <f t="shared" si="3"/>
        <v>55953420</v>
      </c>
    </row>
    <row r="225" spans="1:5" x14ac:dyDescent="0.25">
      <c r="A225" s="60">
        <v>31</v>
      </c>
      <c r="B225" s="60" t="s">
        <v>120</v>
      </c>
      <c r="C225" s="60">
        <v>20</v>
      </c>
      <c r="D225" s="60">
        <v>2100000</v>
      </c>
      <c r="E225" s="60">
        <f t="shared" si="3"/>
        <v>2100000</v>
      </c>
    </row>
    <row r="226" spans="1:5" x14ac:dyDescent="0.25">
      <c r="A226" s="60">
        <v>31</v>
      </c>
      <c r="B226" s="60" t="s">
        <v>120</v>
      </c>
      <c r="C226" s="60">
        <v>50</v>
      </c>
      <c r="D226" s="60">
        <v>4300540</v>
      </c>
      <c r="E226" s="60">
        <f t="shared" si="3"/>
        <v>4300540</v>
      </c>
    </row>
    <row r="227" spans="1:5" x14ac:dyDescent="0.25">
      <c r="A227" s="60">
        <v>31</v>
      </c>
      <c r="B227" s="60" t="s">
        <v>120</v>
      </c>
      <c r="C227" s="60">
        <v>70</v>
      </c>
      <c r="D227" s="60">
        <v>341177</v>
      </c>
      <c r="E227" s="60">
        <f t="shared" si="3"/>
        <v>341177</v>
      </c>
    </row>
    <row r="228" spans="1:5" x14ac:dyDescent="0.25">
      <c r="A228" s="60">
        <v>31</v>
      </c>
      <c r="B228" s="60" t="s">
        <v>120</v>
      </c>
      <c r="C228" s="60">
        <v>110</v>
      </c>
      <c r="D228" s="60">
        <v>18641080</v>
      </c>
      <c r="E228" s="60">
        <f t="shared" si="3"/>
        <v>-18641080</v>
      </c>
    </row>
    <row r="229" spans="1:5" x14ac:dyDescent="0.25">
      <c r="A229" s="60">
        <v>31</v>
      </c>
      <c r="B229" s="60" t="s">
        <v>120</v>
      </c>
      <c r="C229" s="60">
        <v>120</v>
      </c>
      <c r="D229" s="60">
        <v>468520</v>
      </c>
      <c r="E229" s="60">
        <f t="shared" si="3"/>
        <v>-468520</v>
      </c>
    </row>
    <row r="230" spans="1:5" x14ac:dyDescent="0.25">
      <c r="A230" s="60">
        <v>31</v>
      </c>
      <c r="B230" s="60" t="s">
        <v>120</v>
      </c>
      <c r="C230" s="60">
        <v>130</v>
      </c>
      <c r="D230" s="60">
        <v>0</v>
      </c>
      <c r="E230" s="60">
        <f t="shared" si="3"/>
        <v>0</v>
      </c>
    </row>
    <row r="231" spans="1:5" x14ac:dyDescent="0.25">
      <c r="A231" s="60">
        <v>31</v>
      </c>
      <c r="B231" s="60" t="s">
        <v>120</v>
      </c>
      <c r="C231" s="60">
        <v>140</v>
      </c>
      <c r="D231" s="60">
        <v>23385240</v>
      </c>
      <c r="E231" s="60">
        <f t="shared" si="3"/>
        <v>-23385240</v>
      </c>
    </row>
    <row r="232" spans="1:5" x14ac:dyDescent="0.25">
      <c r="A232" s="60">
        <v>31</v>
      </c>
      <c r="B232" s="60" t="s">
        <v>120</v>
      </c>
      <c r="C232" s="60">
        <v>141</v>
      </c>
      <c r="D232" s="60">
        <v>35912420</v>
      </c>
      <c r="E232" s="60">
        <f t="shared" si="3"/>
        <v>-35912420</v>
      </c>
    </row>
    <row r="233" spans="1:5" x14ac:dyDescent="0.25">
      <c r="A233" s="60">
        <v>31</v>
      </c>
      <c r="B233" s="60" t="s">
        <v>120</v>
      </c>
      <c r="C233" s="60">
        <v>160</v>
      </c>
      <c r="D233" s="60">
        <v>0</v>
      </c>
      <c r="E233" s="60">
        <f t="shared" si="3"/>
        <v>0</v>
      </c>
    </row>
    <row r="234" spans="1:5" x14ac:dyDescent="0.25">
      <c r="A234" s="60">
        <v>31</v>
      </c>
      <c r="B234" s="60" t="s">
        <v>120</v>
      </c>
      <c r="C234" s="60">
        <v>200</v>
      </c>
      <c r="D234" s="60">
        <v>559303</v>
      </c>
      <c r="E234" s="60">
        <f t="shared" si="3"/>
        <v>-559303</v>
      </c>
    </row>
    <row r="235" spans="1:5" x14ac:dyDescent="0.25">
      <c r="A235" s="60">
        <v>31</v>
      </c>
      <c r="B235" s="60" t="s">
        <v>120</v>
      </c>
      <c r="C235" s="60">
        <v>210</v>
      </c>
      <c r="D235" s="60">
        <v>12253</v>
      </c>
      <c r="E235" s="60">
        <f t="shared" si="3"/>
        <v>-12253</v>
      </c>
    </row>
    <row r="236" spans="1:5" x14ac:dyDescent="0.25">
      <c r="A236" s="60">
        <v>31</v>
      </c>
      <c r="B236" s="60" t="s">
        <v>120</v>
      </c>
      <c r="C236" s="60">
        <v>220</v>
      </c>
      <c r="D236" s="60">
        <v>0</v>
      </c>
      <c r="E236" s="60">
        <f t="shared" si="3"/>
        <v>0</v>
      </c>
    </row>
    <row r="237" spans="1:5" x14ac:dyDescent="0.25">
      <c r="A237" s="60">
        <v>31</v>
      </c>
      <c r="B237" s="60" t="s">
        <v>120</v>
      </c>
      <c r="C237" s="60">
        <v>230</v>
      </c>
      <c r="D237" s="60">
        <v>645409</v>
      </c>
      <c r="E237" s="60">
        <f t="shared" si="3"/>
        <v>-645409</v>
      </c>
    </row>
    <row r="238" spans="1:5" x14ac:dyDescent="0.25">
      <c r="A238" s="60">
        <v>31</v>
      </c>
      <c r="B238" s="60" t="s">
        <v>120</v>
      </c>
      <c r="C238" s="60">
        <v>260</v>
      </c>
      <c r="D238" s="60">
        <v>0</v>
      </c>
      <c r="E238" s="60">
        <f t="shared" si="3"/>
        <v>0</v>
      </c>
    </row>
    <row r="239" spans="1:5" x14ac:dyDescent="0.25">
      <c r="A239" s="60">
        <v>31</v>
      </c>
      <c r="B239" s="60" t="s">
        <v>120</v>
      </c>
      <c r="C239" s="60">
        <v>298</v>
      </c>
      <c r="D239" s="60">
        <v>0</v>
      </c>
      <c r="E239" s="60">
        <f t="shared" si="3"/>
        <v>0</v>
      </c>
    </row>
    <row r="240" spans="1:5" x14ac:dyDescent="0.25">
      <c r="A240" s="60">
        <v>31</v>
      </c>
      <c r="B240" s="60" t="s">
        <v>121</v>
      </c>
      <c r="C240" s="60">
        <v>10</v>
      </c>
      <c r="D240" s="60">
        <v>0</v>
      </c>
      <c r="E240" s="60">
        <f t="shared" si="3"/>
        <v>0</v>
      </c>
    </row>
    <row r="241" spans="1:5" x14ac:dyDescent="0.25">
      <c r="A241" s="60">
        <v>31</v>
      </c>
      <c r="B241" s="60" t="s">
        <v>121</v>
      </c>
      <c r="C241" s="60">
        <v>110</v>
      </c>
      <c r="D241" s="60">
        <v>0</v>
      </c>
      <c r="E241" s="60">
        <f t="shared" si="3"/>
        <v>0</v>
      </c>
    </row>
    <row r="242" spans="1:5" x14ac:dyDescent="0.25">
      <c r="A242" s="60">
        <v>32</v>
      </c>
      <c r="B242" s="60" t="s">
        <v>117</v>
      </c>
      <c r="C242" s="60">
        <v>50</v>
      </c>
      <c r="D242" s="60">
        <v>0</v>
      </c>
      <c r="E242" s="60">
        <f t="shared" si="3"/>
        <v>0</v>
      </c>
    </row>
    <row r="243" spans="1:5" x14ac:dyDescent="0.25">
      <c r="A243" s="60">
        <v>32</v>
      </c>
      <c r="B243" s="60" t="s">
        <v>117</v>
      </c>
      <c r="C243" s="60">
        <v>110</v>
      </c>
      <c r="D243" s="60">
        <v>0</v>
      </c>
      <c r="E243" s="60">
        <f t="shared" si="3"/>
        <v>0</v>
      </c>
    </row>
    <row r="244" spans="1:5" x14ac:dyDescent="0.25">
      <c r="A244" s="60">
        <v>32</v>
      </c>
      <c r="B244" s="60" t="s">
        <v>120</v>
      </c>
      <c r="C244" s="60">
        <v>1</v>
      </c>
      <c r="D244" s="60">
        <v>57844037</v>
      </c>
      <c r="E244" s="60">
        <f t="shared" si="3"/>
        <v>57844037</v>
      </c>
    </row>
    <row r="245" spans="1:5" x14ac:dyDescent="0.25">
      <c r="A245" s="60">
        <v>32</v>
      </c>
      <c r="B245" s="60" t="s">
        <v>120</v>
      </c>
      <c r="C245" s="60">
        <v>10</v>
      </c>
      <c r="D245" s="60">
        <v>35796940</v>
      </c>
      <c r="E245" s="60">
        <f t="shared" si="3"/>
        <v>35796940</v>
      </c>
    </row>
    <row r="246" spans="1:5" x14ac:dyDescent="0.25">
      <c r="A246" s="60">
        <v>32</v>
      </c>
      <c r="B246" s="60" t="s">
        <v>120</v>
      </c>
      <c r="C246" s="60">
        <v>50</v>
      </c>
      <c r="D246" s="60">
        <v>23385260</v>
      </c>
      <c r="E246" s="60">
        <f t="shared" si="3"/>
        <v>23385260</v>
      </c>
    </row>
    <row r="247" spans="1:5" x14ac:dyDescent="0.25">
      <c r="A247" s="60">
        <v>32</v>
      </c>
      <c r="B247" s="60" t="s">
        <v>120</v>
      </c>
      <c r="C247" s="60">
        <v>70</v>
      </c>
      <c r="D247" s="60">
        <v>-341177</v>
      </c>
      <c r="E247" s="60">
        <f t="shared" si="3"/>
        <v>-341177</v>
      </c>
    </row>
    <row r="248" spans="1:5" x14ac:dyDescent="0.25">
      <c r="A248" s="60">
        <v>32</v>
      </c>
      <c r="B248" s="60" t="s">
        <v>120</v>
      </c>
      <c r="C248" s="60">
        <v>110</v>
      </c>
      <c r="D248" s="60">
        <v>513100</v>
      </c>
      <c r="E248" s="60">
        <f t="shared" si="3"/>
        <v>-513100</v>
      </c>
    </row>
    <row r="249" spans="1:5" x14ac:dyDescent="0.25">
      <c r="A249" s="60">
        <v>32</v>
      </c>
      <c r="B249" s="60" t="s">
        <v>120</v>
      </c>
      <c r="C249" s="60">
        <v>140</v>
      </c>
      <c r="D249" s="60">
        <v>1176000</v>
      </c>
      <c r="E249" s="60">
        <f t="shared" si="3"/>
        <v>-1176000</v>
      </c>
    </row>
    <row r="250" spans="1:5" x14ac:dyDescent="0.25">
      <c r="A250" s="60">
        <v>32</v>
      </c>
      <c r="B250" s="60" t="s">
        <v>120</v>
      </c>
      <c r="C250" s="60">
        <v>141</v>
      </c>
      <c r="D250" s="60">
        <v>56349540</v>
      </c>
      <c r="E250" s="60">
        <f t="shared" si="3"/>
        <v>-56349540</v>
      </c>
    </row>
    <row r="251" spans="1:5" x14ac:dyDescent="0.25">
      <c r="A251" s="60">
        <v>32</v>
      </c>
      <c r="B251" s="60" t="s">
        <v>120</v>
      </c>
      <c r="C251" s="60">
        <v>200</v>
      </c>
      <c r="D251" s="60">
        <v>357969</v>
      </c>
      <c r="E251" s="60">
        <f t="shared" si="3"/>
        <v>-357969</v>
      </c>
    </row>
    <row r="252" spans="1:5" x14ac:dyDescent="0.25">
      <c r="A252" s="60">
        <v>32</v>
      </c>
      <c r="B252" s="60" t="s">
        <v>120</v>
      </c>
      <c r="C252" s="60">
        <v>210</v>
      </c>
      <c r="D252" s="60">
        <v>4131</v>
      </c>
      <c r="E252" s="60">
        <f t="shared" si="3"/>
        <v>-4131</v>
      </c>
    </row>
    <row r="253" spans="1:5" x14ac:dyDescent="0.25">
      <c r="A253" s="60">
        <v>32</v>
      </c>
      <c r="B253" s="60" t="s">
        <v>120</v>
      </c>
      <c r="C253" s="60">
        <v>230</v>
      </c>
      <c r="D253" s="60">
        <v>294720</v>
      </c>
      <c r="E253" s="60">
        <f t="shared" si="3"/>
        <v>-294720</v>
      </c>
    </row>
    <row r="254" spans="1:5" x14ac:dyDescent="0.25">
      <c r="A254" s="60">
        <v>41</v>
      </c>
      <c r="B254" s="60" t="s">
        <v>117</v>
      </c>
      <c r="C254" s="60">
        <v>1</v>
      </c>
      <c r="D254" s="60">
        <v>0</v>
      </c>
      <c r="E254" s="60">
        <f t="shared" si="3"/>
        <v>0</v>
      </c>
    </row>
    <row r="255" spans="1:5" x14ac:dyDescent="0.25">
      <c r="A255" s="60">
        <v>41</v>
      </c>
      <c r="B255" s="60" t="s">
        <v>117</v>
      </c>
      <c r="C255" s="60">
        <v>10</v>
      </c>
      <c r="D255" s="60">
        <v>0</v>
      </c>
      <c r="E255" s="60">
        <f t="shared" si="3"/>
        <v>0</v>
      </c>
    </row>
    <row r="256" spans="1:5" x14ac:dyDescent="0.25">
      <c r="A256" s="60">
        <v>41</v>
      </c>
      <c r="B256" s="60" t="s">
        <v>117</v>
      </c>
      <c r="C256" s="60">
        <v>50</v>
      </c>
      <c r="D256" s="60">
        <v>0</v>
      </c>
      <c r="E256" s="60">
        <f t="shared" si="3"/>
        <v>0</v>
      </c>
    </row>
    <row r="257" spans="1:5" x14ac:dyDescent="0.25">
      <c r="A257" s="60">
        <v>41</v>
      </c>
      <c r="B257" s="60" t="s">
        <v>117</v>
      </c>
      <c r="C257" s="60">
        <v>70</v>
      </c>
      <c r="D257" s="60">
        <v>0</v>
      </c>
      <c r="E257" s="60">
        <f t="shared" si="3"/>
        <v>0</v>
      </c>
    </row>
    <row r="258" spans="1:5" x14ac:dyDescent="0.25">
      <c r="A258" s="60">
        <v>41</v>
      </c>
      <c r="B258" s="60" t="s">
        <v>117</v>
      </c>
      <c r="C258" s="60">
        <v>200</v>
      </c>
      <c r="D258" s="60">
        <v>0</v>
      </c>
      <c r="E258" s="60">
        <f t="shared" ref="E258:E321" si="4">IF(C258&lt;100,D258,D258*-1)</f>
        <v>0</v>
      </c>
    </row>
    <row r="259" spans="1:5" x14ac:dyDescent="0.25">
      <c r="A259" s="60">
        <v>41</v>
      </c>
      <c r="B259" s="60" t="s">
        <v>118</v>
      </c>
      <c r="C259" s="60">
        <v>1</v>
      </c>
      <c r="D259" s="60">
        <v>0</v>
      </c>
      <c r="E259" s="60">
        <f t="shared" si="4"/>
        <v>0</v>
      </c>
    </row>
    <row r="260" spans="1:5" x14ac:dyDescent="0.25">
      <c r="A260" s="60">
        <v>41</v>
      </c>
      <c r="B260" s="60" t="s">
        <v>118</v>
      </c>
      <c r="C260" s="60">
        <v>70</v>
      </c>
      <c r="D260" s="60">
        <v>0</v>
      </c>
      <c r="E260" s="60">
        <f t="shared" si="4"/>
        <v>0</v>
      </c>
    </row>
    <row r="261" spans="1:5" x14ac:dyDescent="0.25">
      <c r="A261" s="60">
        <v>41</v>
      </c>
      <c r="B261" s="60" t="s">
        <v>118</v>
      </c>
      <c r="C261" s="60">
        <v>140</v>
      </c>
      <c r="D261" s="60">
        <v>0</v>
      </c>
      <c r="E261" s="60">
        <f t="shared" si="4"/>
        <v>0</v>
      </c>
    </row>
    <row r="262" spans="1:5" x14ac:dyDescent="0.25">
      <c r="A262" s="60">
        <v>41</v>
      </c>
      <c r="B262" s="60" t="s">
        <v>120</v>
      </c>
      <c r="C262" s="60">
        <v>10</v>
      </c>
      <c r="D262" s="60">
        <v>0</v>
      </c>
      <c r="E262" s="60">
        <f t="shared" si="4"/>
        <v>0</v>
      </c>
    </row>
    <row r="263" spans="1:5" x14ac:dyDescent="0.25">
      <c r="A263" s="60">
        <v>41</v>
      </c>
      <c r="B263" s="60" t="s">
        <v>120</v>
      </c>
      <c r="C263" s="60">
        <v>140</v>
      </c>
      <c r="D263" s="60">
        <v>0</v>
      </c>
      <c r="E263" s="60">
        <f t="shared" si="4"/>
        <v>0</v>
      </c>
    </row>
    <row r="264" spans="1:5" x14ac:dyDescent="0.25">
      <c r="A264" s="60">
        <v>61</v>
      </c>
      <c r="B264" s="60" t="s">
        <v>117</v>
      </c>
      <c r="C264" s="60">
        <v>1</v>
      </c>
      <c r="D264" s="60">
        <v>10400762</v>
      </c>
      <c r="E264" s="60">
        <f t="shared" si="4"/>
        <v>10400762</v>
      </c>
    </row>
    <row r="265" spans="1:5" x14ac:dyDescent="0.25">
      <c r="A265" s="60">
        <v>61</v>
      </c>
      <c r="B265" s="60" t="s">
        <v>117</v>
      </c>
      <c r="C265" s="60">
        <v>10</v>
      </c>
      <c r="D265" s="60">
        <v>40357280</v>
      </c>
      <c r="E265" s="60">
        <f t="shared" si="4"/>
        <v>40357280</v>
      </c>
    </row>
    <row r="266" spans="1:5" x14ac:dyDescent="0.25">
      <c r="A266" s="60">
        <v>61</v>
      </c>
      <c r="B266" s="60" t="s">
        <v>117</v>
      </c>
      <c r="C266" s="60">
        <v>20</v>
      </c>
      <c r="D266" s="60">
        <v>0</v>
      </c>
      <c r="E266" s="60">
        <f t="shared" si="4"/>
        <v>0</v>
      </c>
    </row>
    <row r="267" spans="1:5" x14ac:dyDescent="0.25">
      <c r="A267" s="60">
        <v>61</v>
      </c>
      <c r="B267" s="60" t="s">
        <v>117</v>
      </c>
      <c r="C267" s="60">
        <v>50</v>
      </c>
      <c r="D267" s="60">
        <v>1147220</v>
      </c>
      <c r="E267" s="60">
        <f t="shared" si="4"/>
        <v>1147220</v>
      </c>
    </row>
    <row r="268" spans="1:5" x14ac:dyDescent="0.25">
      <c r="A268" s="60">
        <v>61</v>
      </c>
      <c r="B268" s="60" t="s">
        <v>117</v>
      </c>
      <c r="C268" s="60">
        <v>60</v>
      </c>
      <c r="D268" s="60">
        <v>66760</v>
      </c>
      <c r="E268" s="60">
        <f t="shared" si="4"/>
        <v>66760</v>
      </c>
    </row>
    <row r="269" spans="1:5" x14ac:dyDescent="0.25">
      <c r="A269" s="60">
        <v>61</v>
      </c>
      <c r="B269" s="60" t="s">
        <v>117</v>
      </c>
      <c r="C269" s="60">
        <v>70</v>
      </c>
      <c r="D269" s="60">
        <v>0</v>
      </c>
      <c r="E269" s="60">
        <f t="shared" si="4"/>
        <v>0</v>
      </c>
    </row>
    <row r="270" spans="1:5" x14ac:dyDescent="0.25">
      <c r="A270" s="60">
        <v>61</v>
      </c>
      <c r="B270" s="60" t="s">
        <v>117</v>
      </c>
      <c r="C270" s="60">
        <v>100</v>
      </c>
      <c r="D270" s="60">
        <v>0</v>
      </c>
      <c r="E270" s="60">
        <f t="shared" si="4"/>
        <v>0</v>
      </c>
    </row>
    <row r="271" spans="1:5" x14ac:dyDescent="0.25">
      <c r="A271" s="60">
        <v>61</v>
      </c>
      <c r="B271" s="60" t="s">
        <v>117</v>
      </c>
      <c r="C271" s="60">
        <v>110</v>
      </c>
      <c r="D271" s="60">
        <v>14185160</v>
      </c>
      <c r="E271" s="60">
        <f t="shared" si="4"/>
        <v>-14185160</v>
      </c>
    </row>
    <row r="272" spans="1:5" x14ac:dyDescent="0.25">
      <c r="A272" s="60">
        <v>61</v>
      </c>
      <c r="B272" s="60" t="s">
        <v>117</v>
      </c>
      <c r="C272" s="60">
        <v>120</v>
      </c>
      <c r="D272" s="60">
        <v>960</v>
      </c>
      <c r="E272" s="60">
        <f t="shared" si="4"/>
        <v>-960</v>
      </c>
    </row>
    <row r="273" spans="1:5" x14ac:dyDescent="0.25">
      <c r="A273" s="60">
        <v>61</v>
      </c>
      <c r="B273" s="60" t="s">
        <v>117</v>
      </c>
      <c r="C273" s="60">
        <v>130</v>
      </c>
      <c r="D273" s="60">
        <v>0</v>
      </c>
      <c r="E273" s="60">
        <f t="shared" si="4"/>
        <v>0</v>
      </c>
    </row>
    <row r="274" spans="1:5" x14ac:dyDescent="0.25">
      <c r="A274" s="60">
        <v>61</v>
      </c>
      <c r="B274" s="60" t="s">
        <v>117</v>
      </c>
      <c r="C274" s="60">
        <v>140</v>
      </c>
      <c r="D274" s="60">
        <v>32960760</v>
      </c>
      <c r="E274" s="60">
        <f t="shared" si="4"/>
        <v>-32960760</v>
      </c>
    </row>
    <row r="275" spans="1:5" x14ac:dyDescent="0.25">
      <c r="A275" s="60">
        <v>61</v>
      </c>
      <c r="B275" s="60" t="s">
        <v>117</v>
      </c>
      <c r="C275" s="60">
        <v>141</v>
      </c>
      <c r="D275" s="60">
        <v>2474440</v>
      </c>
      <c r="E275" s="60">
        <f t="shared" si="4"/>
        <v>-2474440</v>
      </c>
    </row>
    <row r="276" spans="1:5" x14ac:dyDescent="0.25">
      <c r="A276" s="60">
        <v>61</v>
      </c>
      <c r="B276" s="60" t="s">
        <v>117</v>
      </c>
      <c r="C276" s="60">
        <v>200</v>
      </c>
      <c r="D276" s="60">
        <v>196896</v>
      </c>
      <c r="E276" s="60">
        <f t="shared" si="4"/>
        <v>-196896</v>
      </c>
    </row>
    <row r="277" spans="1:5" x14ac:dyDescent="0.25">
      <c r="A277" s="60">
        <v>61</v>
      </c>
      <c r="B277" s="60" t="s">
        <v>117</v>
      </c>
      <c r="C277" s="60">
        <v>210</v>
      </c>
      <c r="D277" s="60">
        <v>401427</v>
      </c>
      <c r="E277" s="60">
        <f t="shared" si="4"/>
        <v>-401427</v>
      </c>
    </row>
    <row r="278" spans="1:5" x14ac:dyDescent="0.25">
      <c r="A278" s="60">
        <v>61</v>
      </c>
      <c r="B278" s="60" t="s">
        <v>117</v>
      </c>
      <c r="C278" s="60">
        <v>230</v>
      </c>
      <c r="D278" s="60">
        <v>0</v>
      </c>
      <c r="E278" s="60">
        <f t="shared" si="4"/>
        <v>0</v>
      </c>
    </row>
    <row r="279" spans="1:5" x14ac:dyDescent="0.25">
      <c r="A279" s="60">
        <v>61</v>
      </c>
      <c r="B279" s="60" t="s">
        <v>117</v>
      </c>
      <c r="C279" s="60">
        <v>270</v>
      </c>
      <c r="D279" s="60">
        <v>0</v>
      </c>
      <c r="E279" s="60">
        <f t="shared" si="4"/>
        <v>0</v>
      </c>
    </row>
    <row r="280" spans="1:5" x14ac:dyDescent="0.25">
      <c r="A280" s="60">
        <v>61</v>
      </c>
      <c r="B280" s="60" t="s">
        <v>117</v>
      </c>
      <c r="C280" s="60">
        <v>298</v>
      </c>
      <c r="D280" s="60">
        <v>0</v>
      </c>
      <c r="E280" s="60">
        <f t="shared" si="4"/>
        <v>0</v>
      </c>
    </row>
    <row r="281" spans="1:5" x14ac:dyDescent="0.25">
      <c r="A281" s="60">
        <v>61</v>
      </c>
      <c r="B281" s="60" t="s">
        <v>118</v>
      </c>
      <c r="C281" s="60">
        <v>1</v>
      </c>
      <c r="D281" s="60">
        <v>13011402</v>
      </c>
      <c r="E281" s="60">
        <f t="shared" si="4"/>
        <v>13011402</v>
      </c>
    </row>
    <row r="282" spans="1:5" x14ac:dyDescent="0.25">
      <c r="A282" s="60">
        <v>61</v>
      </c>
      <c r="B282" s="60" t="s">
        <v>118</v>
      </c>
      <c r="C282" s="60">
        <v>10</v>
      </c>
      <c r="D282" s="60">
        <v>25245820</v>
      </c>
      <c r="E282" s="60">
        <f t="shared" si="4"/>
        <v>25245820</v>
      </c>
    </row>
    <row r="283" spans="1:5" x14ac:dyDescent="0.25">
      <c r="A283" s="60">
        <v>61</v>
      </c>
      <c r="B283" s="60" t="s">
        <v>118</v>
      </c>
      <c r="C283" s="60">
        <v>20</v>
      </c>
      <c r="D283" s="60">
        <v>1218036</v>
      </c>
      <c r="E283" s="60">
        <f t="shared" si="4"/>
        <v>1218036</v>
      </c>
    </row>
    <row r="284" spans="1:5" x14ac:dyDescent="0.25">
      <c r="A284" s="60">
        <v>61</v>
      </c>
      <c r="B284" s="60" t="s">
        <v>118</v>
      </c>
      <c r="C284" s="60">
        <v>50</v>
      </c>
      <c r="D284" s="60">
        <v>38240</v>
      </c>
      <c r="E284" s="60">
        <f t="shared" si="4"/>
        <v>38240</v>
      </c>
    </row>
    <row r="285" spans="1:5" x14ac:dyDescent="0.25">
      <c r="A285" s="60">
        <v>61</v>
      </c>
      <c r="B285" s="60" t="s">
        <v>118</v>
      </c>
      <c r="C285" s="60">
        <v>60</v>
      </c>
      <c r="D285" s="60">
        <v>0</v>
      </c>
      <c r="E285" s="60">
        <f t="shared" si="4"/>
        <v>0</v>
      </c>
    </row>
    <row r="286" spans="1:5" x14ac:dyDescent="0.25">
      <c r="A286" s="60">
        <v>61</v>
      </c>
      <c r="B286" s="60" t="s">
        <v>118</v>
      </c>
      <c r="C286" s="60">
        <v>70</v>
      </c>
      <c r="D286" s="60">
        <v>0</v>
      </c>
      <c r="E286" s="60">
        <f t="shared" si="4"/>
        <v>0</v>
      </c>
    </row>
    <row r="287" spans="1:5" x14ac:dyDescent="0.25">
      <c r="A287" s="60">
        <v>61</v>
      </c>
      <c r="B287" s="60" t="s">
        <v>118</v>
      </c>
      <c r="C287" s="60">
        <v>110</v>
      </c>
      <c r="D287" s="60">
        <v>1183720</v>
      </c>
      <c r="E287" s="60">
        <f t="shared" si="4"/>
        <v>-1183720</v>
      </c>
    </row>
    <row r="288" spans="1:5" x14ac:dyDescent="0.25">
      <c r="A288" s="60">
        <v>61</v>
      </c>
      <c r="B288" s="60" t="s">
        <v>118</v>
      </c>
      <c r="C288" s="60">
        <v>120</v>
      </c>
      <c r="D288" s="60">
        <v>26820</v>
      </c>
      <c r="E288" s="60">
        <f t="shared" si="4"/>
        <v>-26820</v>
      </c>
    </row>
    <row r="289" spans="1:5" x14ac:dyDescent="0.25">
      <c r="A289" s="60">
        <v>61</v>
      </c>
      <c r="B289" s="60" t="s">
        <v>118</v>
      </c>
      <c r="C289" s="60">
        <v>130</v>
      </c>
      <c r="D289" s="60">
        <v>0</v>
      </c>
      <c r="E289" s="60">
        <f t="shared" si="4"/>
        <v>0</v>
      </c>
    </row>
    <row r="290" spans="1:5" x14ac:dyDescent="0.25">
      <c r="A290" s="60">
        <v>61</v>
      </c>
      <c r="B290" s="60" t="s">
        <v>118</v>
      </c>
      <c r="C290" s="60">
        <v>140</v>
      </c>
      <c r="D290" s="60">
        <v>0</v>
      </c>
      <c r="E290" s="60">
        <f t="shared" si="4"/>
        <v>0</v>
      </c>
    </row>
    <row r="291" spans="1:5" x14ac:dyDescent="0.25">
      <c r="A291" s="60">
        <v>61</v>
      </c>
      <c r="B291" s="60" t="s">
        <v>118</v>
      </c>
      <c r="C291" s="60">
        <v>141</v>
      </c>
      <c r="D291" s="60">
        <v>37783000</v>
      </c>
      <c r="E291" s="60">
        <f t="shared" si="4"/>
        <v>-37783000</v>
      </c>
    </row>
    <row r="292" spans="1:5" x14ac:dyDescent="0.25">
      <c r="A292" s="60">
        <v>61</v>
      </c>
      <c r="B292" s="60" t="s">
        <v>118</v>
      </c>
      <c r="C292" s="60">
        <v>160</v>
      </c>
      <c r="D292" s="60">
        <v>0</v>
      </c>
      <c r="E292" s="60">
        <f t="shared" si="4"/>
        <v>0</v>
      </c>
    </row>
    <row r="293" spans="1:5" x14ac:dyDescent="0.25">
      <c r="A293" s="60">
        <v>61</v>
      </c>
      <c r="B293" s="60" t="s">
        <v>118</v>
      </c>
      <c r="C293" s="60">
        <v>200</v>
      </c>
      <c r="D293" s="60">
        <v>125128</v>
      </c>
      <c r="E293" s="60">
        <f t="shared" si="4"/>
        <v>-125128</v>
      </c>
    </row>
    <row r="294" spans="1:5" x14ac:dyDescent="0.25">
      <c r="A294" s="60">
        <v>61</v>
      </c>
      <c r="B294" s="60" t="s">
        <v>118</v>
      </c>
      <c r="C294" s="60">
        <v>210</v>
      </c>
      <c r="D294" s="60">
        <v>0</v>
      </c>
      <c r="E294" s="60">
        <f t="shared" si="4"/>
        <v>0</v>
      </c>
    </row>
    <row r="295" spans="1:5" x14ac:dyDescent="0.25">
      <c r="A295" s="60">
        <v>61</v>
      </c>
      <c r="B295" s="60" t="s">
        <v>118</v>
      </c>
      <c r="C295" s="60">
        <v>230</v>
      </c>
      <c r="D295" s="60">
        <v>394830</v>
      </c>
      <c r="E295" s="60">
        <f t="shared" si="4"/>
        <v>-394830</v>
      </c>
    </row>
    <row r="296" spans="1:5" x14ac:dyDescent="0.25">
      <c r="A296" s="60">
        <v>61</v>
      </c>
      <c r="B296" s="60" t="s">
        <v>118</v>
      </c>
      <c r="C296" s="60">
        <v>260</v>
      </c>
      <c r="D296" s="60">
        <v>0</v>
      </c>
      <c r="E296" s="60">
        <f t="shared" si="4"/>
        <v>0</v>
      </c>
    </row>
    <row r="297" spans="1:5" x14ac:dyDescent="0.25">
      <c r="A297" s="60">
        <v>61</v>
      </c>
      <c r="B297" s="60" t="s">
        <v>118</v>
      </c>
      <c r="C297" s="60">
        <v>298</v>
      </c>
      <c r="D297" s="60">
        <v>0</v>
      </c>
      <c r="E297" s="60">
        <f t="shared" si="4"/>
        <v>0</v>
      </c>
    </row>
    <row r="298" spans="1:5" x14ac:dyDescent="0.25">
      <c r="A298" s="60">
        <v>61</v>
      </c>
      <c r="B298" s="60" t="s">
        <v>119</v>
      </c>
      <c r="C298" s="60">
        <v>1</v>
      </c>
      <c r="D298" s="60">
        <v>8058457</v>
      </c>
      <c r="E298" s="60">
        <f t="shared" si="4"/>
        <v>8058457</v>
      </c>
    </row>
    <row r="299" spans="1:5" x14ac:dyDescent="0.25">
      <c r="A299" s="60">
        <v>61</v>
      </c>
      <c r="B299" s="60" t="s">
        <v>119</v>
      </c>
      <c r="C299" s="60">
        <v>10</v>
      </c>
      <c r="D299" s="60">
        <v>35136760</v>
      </c>
      <c r="E299" s="60">
        <f t="shared" si="4"/>
        <v>35136760</v>
      </c>
    </row>
    <row r="300" spans="1:5" x14ac:dyDescent="0.25">
      <c r="A300" s="60">
        <v>61</v>
      </c>
      <c r="B300" s="60" t="s">
        <v>119</v>
      </c>
      <c r="C300" s="60">
        <v>20</v>
      </c>
      <c r="D300" s="60">
        <v>0</v>
      </c>
      <c r="E300" s="60">
        <f t="shared" si="4"/>
        <v>0</v>
      </c>
    </row>
    <row r="301" spans="1:5" x14ac:dyDescent="0.25">
      <c r="A301" s="60">
        <v>61</v>
      </c>
      <c r="B301" s="60" t="s">
        <v>119</v>
      </c>
      <c r="C301" s="60">
        <v>50</v>
      </c>
      <c r="D301" s="60">
        <v>45560</v>
      </c>
      <c r="E301" s="60">
        <f t="shared" si="4"/>
        <v>45560</v>
      </c>
    </row>
    <row r="302" spans="1:5" x14ac:dyDescent="0.25">
      <c r="A302" s="60">
        <v>61</v>
      </c>
      <c r="B302" s="60" t="s">
        <v>119</v>
      </c>
      <c r="C302" s="60">
        <v>60</v>
      </c>
      <c r="D302" s="60">
        <v>0</v>
      </c>
      <c r="E302" s="60">
        <f t="shared" si="4"/>
        <v>0</v>
      </c>
    </row>
    <row r="303" spans="1:5" x14ac:dyDescent="0.25">
      <c r="A303" s="60">
        <v>61</v>
      </c>
      <c r="B303" s="60" t="s">
        <v>119</v>
      </c>
      <c r="C303" s="60">
        <v>70</v>
      </c>
      <c r="D303" s="60">
        <v>0</v>
      </c>
      <c r="E303" s="60">
        <f t="shared" si="4"/>
        <v>0</v>
      </c>
    </row>
    <row r="304" spans="1:5" x14ac:dyDescent="0.25">
      <c r="A304" s="60">
        <v>61</v>
      </c>
      <c r="B304" s="60" t="s">
        <v>119</v>
      </c>
      <c r="C304" s="60">
        <v>110</v>
      </c>
      <c r="D304" s="60">
        <v>16569920</v>
      </c>
      <c r="E304" s="60">
        <f t="shared" si="4"/>
        <v>-16569920</v>
      </c>
    </row>
    <row r="305" spans="1:5" x14ac:dyDescent="0.25">
      <c r="A305" s="60">
        <v>61</v>
      </c>
      <c r="B305" s="60" t="s">
        <v>119</v>
      </c>
      <c r="C305" s="60">
        <v>120</v>
      </c>
      <c r="D305" s="60">
        <v>0</v>
      </c>
      <c r="E305" s="60">
        <f t="shared" si="4"/>
        <v>0</v>
      </c>
    </row>
    <row r="306" spans="1:5" x14ac:dyDescent="0.25">
      <c r="A306" s="60">
        <v>61</v>
      </c>
      <c r="B306" s="60" t="s">
        <v>119</v>
      </c>
      <c r="C306" s="60">
        <v>130</v>
      </c>
      <c r="D306" s="60">
        <v>0</v>
      </c>
      <c r="E306" s="60">
        <f t="shared" si="4"/>
        <v>0</v>
      </c>
    </row>
    <row r="307" spans="1:5" x14ac:dyDescent="0.25">
      <c r="A307" s="60">
        <v>61</v>
      </c>
      <c r="B307" s="60" t="s">
        <v>119</v>
      </c>
      <c r="C307" s="60">
        <v>140</v>
      </c>
      <c r="D307" s="60">
        <v>0</v>
      </c>
      <c r="E307" s="60">
        <f t="shared" si="4"/>
        <v>0</v>
      </c>
    </row>
    <row r="308" spans="1:5" x14ac:dyDescent="0.25">
      <c r="A308" s="60">
        <v>61</v>
      </c>
      <c r="B308" s="60" t="s">
        <v>119</v>
      </c>
      <c r="C308" s="60">
        <v>141</v>
      </c>
      <c r="D308" s="60">
        <v>453240</v>
      </c>
      <c r="E308" s="60">
        <f t="shared" si="4"/>
        <v>-453240</v>
      </c>
    </row>
    <row r="309" spans="1:5" x14ac:dyDescent="0.25">
      <c r="A309" s="60">
        <v>61</v>
      </c>
      <c r="B309" s="60" t="s">
        <v>119</v>
      </c>
      <c r="C309" s="60">
        <v>200</v>
      </c>
      <c r="D309" s="60">
        <v>175992</v>
      </c>
      <c r="E309" s="60">
        <f t="shared" si="4"/>
        <v>-175992</v>
      </c>
    </row>
    <row r="310" spans="1:5" x14ac:dyDescent="0.25">
      <c r="A310" s="60">
        <v>61</v>
      </c>
      <c r="B310" s="60" t="s">
        <v>119</v>
      </c>
      <c r="C310" s="60">
        <v>210</v>
      </c>
      <c r="D310" s="60">
        <v>48176</v>
      </c>
      <c r="E310" s="60">
        <f t="shared" si="4"/>
        <v>-48176</v>
      </c>
    </row>
    <row r="311" spans="1:5" x14ac:dyDescent="0.25">
      <c r="A311" s="60">
        <v>61</v>
      </c>
      <c r="B311" s="60" t="s">
        <v>119</v>
      </c>
      <c r="C311" s="60">
        <v>220</v>
      </c>
      <c r="D311" s="60">
        <v>0</v>
      </c>
      <c r="E311" s="60">
        <f t="shared" si="4"/>
        <v>0</v>
      </c>
    </row>
    <row r="312" spans="1:5" x14ac:dyDescent="0.25">
      <c r="A312" s="60">
        <v>61</v>
      </c>
      <c r="B312" s="60" t="s">
        <v>119</v>
      </c>
      <c r="C312" s="60">
        <v>230</v>
      </c>
      <c r="D312" s="60">
        <v>172908</v>
      </c>
      <c r="E312" s="60">
        <f t="shared" si="4"/>
        <v>-172908</v>
      </c>
    </row>
    <row r="313" spans="1:5" x14ac:dyDescent="0.25">
      <c r="A313" s="60">
        <v>61</v>
      </c>
      <c r="B313" s="60" t="s">
        <v>119</v>
      </c>
      <c r="C313" s="60">
        <v>270</v>
      </c>
      <c r="D313" s="60">
        <v>0</v>
      </c>
      <c r="E313" s="60">
        <f t="shared" si="4"/>
        <v>0</v>
      </c>
    </row>
    <row r="314" spans="1:5" x14ac:dyDescent="0.25">
      <c r="A314" s="60">
        <v>61</v>
      </c>
      <c r="B314" s="60" t="s">
        <v>119</v>
      </c>
      <c r="C314" s="60">
        <v>298</v>
      </c>
      <c r="D314" s="60">
        <v>0</v>
      </c>
      <c r="E314" s="60">
        <f t="shared" si="4"/>
        <v>0</v>
      </c>
    </row>
    <row r="315" spans="1:5" x14ac:dyDescent="0.25">
      <c r="A315" s="60">
        <v>61</v>
      </c>
      <c r="B315" s="60" t="s">
        <v>120</v>
      </c>
      <c r="C315" s="60">
        <v>1</v>
      </c>
      <c r="D315" s="60">
        <v>14189564</v>
      </c>
      <c r="E315" s="60">
        <f t="shared" si="4"/>
        <v>14189564</v>
      </c>
    </row>
    <row r="316" spans="1:5" x14ac:dyDescent="0.25">
      <c r="A316" s="60">
        <v>61</v>
      </c>
      <c r="B316" s="60" t="s">
        <v>120</v>
      </c>
      <c r="C316" s="60">
        <v>10</v>
      </c>
      <c r="D316" s="60">
        <v>40425780</v>
      </c>
      <c r="E316" s="60">
        <f t="shared" si="4"/>
        <v>40425780</v>
      </c>
    </row>
    <row r="317" spans="1:5" x14ac:dyDescent="0.25">
      <c r="A317" s="60">
        <v>61</v>
      </c>
      <c r="B317" s="60" t="s">
        <v>120</v>
      </c>
      <c r="C317" s="60">
        <v>20</v>
      </c>
      <c r="D317" s="60">
        <v>0</v>
      </c>
      <c r="E317" s="60">
        <f t="shared" si="4"/>
        <v>0</v>
      </c>
    </row>
    <row r="318" spans="1:5" x14ac:dyDescent="0.25">
      <c r="A318" s="60">
        <v>61</v>
      </c>
      <c r="B318" s="60" t="s">
        <v>120</v>
      </c>
      <c r="C318" s="60">
        <v>50</v>
      </c>
      <c r="D318" s="60">
        <v>1407160</v>
      </c>
      <c r="E318" s="60">
        <f t="shared" si="4"/>
        <v>1407160</v>
      </c>
    </row>
    <row r="319" spans="1:5" x14ac:dyDescent="0.25">
      <c r="A319" s="60">
        <v>61</v>
      </c>
      <c r="B319" s="60" t="s">
        <v>120</v>
      </c>
      <c r="C319" s="60">
        <v>60</v>
      </c>
      <c r="D319" s="60">
        <v>0</v>
      </c>
      <c r="E319" s="60">
        <f t="shared" si="4"/>
        <v>0</v>
      </c>
    </row>
    <row r="320" spans="1:5" x14ac:dyDescent="0.25">
      <c r="A320" s="60">
        <v>61</v>
      </c>
      <c r="B320" s="60" t="s">
        <v>120</v>
      </c>
      <c r="C320" s="60">
        <v>70</v>
      </c>
      <c r="D320" s="60">
        <v>0</v>
      </c>
      <c r="E320" s="60">
        <f t="shared" si="4"/>
        <v>0</v>
      </c>
    </row>
    <row r="321" spans="1:5" x14ac:dyDescent="0.25">
      <c r="A321" s="60">
        <v>61</v>
      </c>
      <c r="B321" s="60" t="s">
        <v>120</v>
      </c>
      <c r="C321" s="60">
        <v>110</v>
      </c>
      <c r="D321" s="60">
        <v>10679680</v>
      </c>
      <c r="E321" s="60">
        <f t="shared" si="4"/>
        <v>-10679680</v>
      </c>
    </row>
    <row r="322" spans="1:5" x14ac:dyDescent="0.25">
      <c r="A322" s="60">
        <v>61</v>
      </c>
      <c r="B322" s="60" t="s">
        <v>120</v>
      </c>
      <c r="C322" s="60">
        <v>120</v>
      </c>
      <c r="D322" s="60">
        <v>507473</v>
      </c>
      <c r="E322" s="60">
        <f t="shared" ref="E322:E385" si="5">IF(C322&lt;100,D322,D322*-1)</f>
        <v>-507473</v>
      </c>
    </row>
    <row r="323" spans="1:5" x14ac:dyDescent="0.25">
      <c r="A323" s="60">
        <v>61</v>
      </c>
      <c r="B323" s="60" t="s">
        <v>120</v>
      </c>
      <c r="C323" s="60">
        <v>130</v>
      </c>
      <c r="D323" s="60">
        <v>108327</v>
      </c>
      <c r="E323" s="60">
        <f t="shared" si="5"/>
        <v>-108327</v>
      </c>
    </row>
    <row r="324" spans="1:5" x14ac:dyDescent="0.25">
      <c r="A324" s="60">
        <v>61</v>
      </c>
      <c r="B324" s="60" t="s">
        <v>120</v>
      </c>
      <c r="C324" s="60">
        <v>140</v>
      </c>
      <c r="D324" s="60">
        <v>9955120</v>
      </c>
      <c r="E324" s="60">
        <f t="shared" si="5"/>
        <v>-9955120</v>
      </c>
    </row>
    <row r="325" spans="1:5" x14ac:dyDescent="0.25">
      <c r="A325" s="60">
        <v>61</v>
      </c>
      <c r="B325" s="60" t="s">
        <v>120</v>
      </c>
      <c r="C325" s="60">
        <v>141</v>
      </c>
      <c r="D325" s="60">
        <v>32486840</v>
      </c>
      <c r="E325" s="60">
        <f t="shared" si="5"/>
        <v>-32486840</v>
      </c>
    </row>
    <row r="326" spans="1:5" x14ac:dyDescent="0.25">
      <c r="A326" s="60">
        <v>61</v>
      </c>
      <c r="B326" s="60" t="s">
        <v>120</v>
      </c>
      <c r="C326" s="60">
        <v>200</v>
      </c>
      <c r="D326" s="60">
        <v>394246</v>
      </c>
      <c r="E326" s="60">
        <f t="shared" si="5"/>
        <v>-394246</v>
      </c>
    </row>
    <row r="327" spans="1:5" x14ac:dyDescent="0.25">
      <c r="A327" s="60">
        <v>61</v>
      </c>
      <c r="B327" s="60" t="s">
        <v>120</v>
      </c>
      <c r="C327" s="60">
        <v>210</v>
      </c>
      <c r="D327" s="60">
        <v>217636</v>
      </c>
      <c r="E327" s="60">
        <f t="shared" si="5"/>
        <v>-217636</v>
      </c>
    </row>
    <row r="328" spans="1:5" x14ac:dyDescent="0.25">
      <c r="A328" s="60">
        <v>61</v>
      </c>
      <c r="B328" s="60" t="s">
        <v>120</v>
      </c>
      <c r="C328" s="60">
        <v>220</v>
      </c>
      <c r="D328" s="60">
        <v>0</v>
      </c>
      <c r="E328" s="60">
        <f t="shared" si="5"/>
        <v>0</v>
      </c>
    </row>
    <row r="329" spans="1:5" x14ac:dyDescent="0.25">
      <c r="A329" s="60">
        <v>61</v>
      </c>
      <c r="B329" s="60" t="s">
        <v>120</v>
      </c>
      <c r="C329" s="60">
        <v>230</v>
      </c>
      <c r="D329" s="60">
        <v>202504</v>
      </c>
      <c r="E329" s="60">
        <f t="shared" si="5"/>
        <v>-202504</v>
      </c>
    </row>
    <row r="330" spans="1:5" x14ac:dyDescent="0.25">
      <c r="A330" s="60">
        <v>61</v>
      </c>
      <c r="B330" s="60" t="s">
        <v>120</v>
      </c>
      <c r="C330" s="60">
        <v>260</v>
      </c>
      <c r="D330" s="60">
        <v>0</v>
      </c>
      <c r="E330" s="60">
        <f t="shared" si="5"/>
        <v>0</v>
      </c>
    </row>
    <row r="331" spans="1:5" x14ac:dyDescent="0.25">
      <c r="A331" s="60">
        <v>61</v>
      </c>
      <c r="B331" s="60" t="s">
        <v>120</v>
      </c>
      <c r="C331" s="60">
        <v>298</v>
      </c>
      <c r="D331" s="60">
        <v>0</v>
      </c>
      <c r="E331" s="60">
        <f t="shared" si="5"/>
        <v>0</v>
      </c>
    </row>
    <row r="332" spans="1:5" x14ac:dyDescent="0.25">
      <c r="A332" s="60">
        <v>61</v>
      </c>
      <c r="B332" s="60" t="s">
        <v>121</v>
      </c>
      <c r="C332" s="60">
        <v>1</v>
      </c>
      <c r="D332" s="60">
        <v>0</v>
      </c>
      <c r="E332" s="60">
        <f t="shared" si="5"/>
        <v>0</v>
      </c>
    </row>
    <row r="333" spans="1:5" x14ac:dyDescent="0.25">
      <c r="A333" s="60">
        <v>61</v>
      </c>
      <c r="B333" s="60" t="s">
        <v>121</v>
      </c>
      <c r="C333" s="60">
        <v>10</v>
      </c>
      <c r="D333" s="60">
        <v>580180</v>
      </c>
      <c r="E333" s="60">
        <f t="shared" si="5"/>
        <v>580180</v>
      </c>
    </row>
    <row r="334" spans="1:5" x14ac:dyDescent="0.25">
      <c r="A334" s="60">
        <v>61</v>
      </c>
      <c r="B334" s="60" t="s">
        <v>121</v>
      </c>
      <c r="C334" s="60">
        <v>20</v>
      </c>
      <c r="D334" s="60">
        <v>0</v>
      </c>
      <c r="E334" s="60">
        <f t="shared" si="5"/>
        <v>0</v>
      </c>
    </row>
    <row r="335" spans="1:5" x14ac:dyDescent="0.25">
      <c r="A335" s="60">
        <v>61</v>
      </c>
      <c r="B335" s="60" t="s">
        <v>121</v>
      </c>
      <c r="C335" s="60">
        <v>50</v>
      </c>
      <c r="D335" s="60">
        <v>24240</v>
      </c>
      <c r="E335" s="60">
        <f t="shared" si="5"/>
        <v>24240</v>
      </c>
    </row>
    <row r="336" spans="1:5" x14ac:dyDescent="0.25">
      <c r="A336" s="60">
        <v>61</v>
      </c>
      <c r="B336" s="60" t="s">
        <v>121</v>
      </c>
      <c r="C336" s="60">
        <v>60</v>
      </c>
      <c r="D336" s="60">
        <v>0</v>
      </c>
      <c r="E336" s="60">
        <f t="shared" si="5"/>
        <v>0</v>
      </c>
    </row>
    <row r="337" spans="1:5" x14ac:dyDescent="0.25">
      <c r="A337" s="60">
        <v>61</v>
      </c>
      <c r="B337" s="60" t="s">
        <v>121</v>
      </c>
      <c r="C337" s="60">
        <v>70</v>
      </c>
      <c r="D337" s="60">
        <v>0</v>
      </c>
      <c r="E337" s="60">
        <f t="shared" si="5"/>
        <v>0</v>
      </c>
    </row>
    <row r="338" spans="1:5" x14ac:dyDescent="0.25">
      <c r="A338" s="60">
        <v>61</v>
      </c>
      <c r="B338" s="60" t="s">
        <v>121</v>
      </c>
      <c r="C338" s="60">
        <v>100</v>
      </c>
      <c r="D338" s="60">
        <v>0</v>
      </c>
      <c r="E338" s="60">
        <f t="shared" si="5"/>
        <v>0</v>
      </c>
    </row>
    <row r="339" spans="1:5" x14ac:dyDescent="0.25">
      <c r="A339" s="60">
        <v>61</v>
      </c>
      <c r="B339" s="60" t="s">
        <v>121</v>
      </c>
      <c r="C339" s="60">
        <v>110</v>
      </c>
      <c r="D339" s="60">
        <v>582340</v>
      </c>
      <c r="E339" s="60">
        <f t="shared" si="5"/>
        <v>-582340</v>
      </c>
    </row>
    <row r="340" spans="1:5" x14ac:dyDescent="0.25">
      <c r="A340" s="60">
        <v>61</v>
      </c>
      <c r="B340" s="60" t="s">
        <v>121</v>
      </c>
      <c r="C340" s="60">
        <v>120</v>
      </c>
      <c r="D340" s="60">
        <v>0</v>
      </c>
      <c r="E340" s="60">
        <f t="shared" si="5"/>
        <v>0</v>
      </c>
    </row>
    <row r="341" spans="1:5" x14ac:dyDescent="0.25">
      <c r="A341" s="60">
        <v>61</v>
      </c>
      <c r="B341" s="60" t="s">
        <v>121</v>
      </c>
      <c r="C341" s="60">
        <v>130</v>
      </c>
      <c r="D341" s="60">
        <v>0</v>
      </c>
      <c r="E341" s="60">
        <f t="shared" si="5"/>
        <v>0</v>
      </c>
    </row>
    <row r="342" spans="1:5" x14ac:dyDescent="0.25">
      <c r="A342" s="60">
        <v>61</v>
      </c>
      <c r="B342" s="60" t="s">
        <v>121</v>
      </c>
      <c r="C342" s="60">
        <v>140</v>
      </c>
      <c r="D342" s="60">
        <v>0</v>
      </c>
      <c r="E342" s="60">
        <f t="shared" si="5"/>
        <v>0</v>
      </c>
    </row>
    <row r="343" spans="1:5" x14ac:dyDescent="0.25">
      <c r="A343" s="60">
        <v>61</v>
      </c>
      <c r="B343" s="60" t="s">
        <v>121</v>
      </c>
      <c r="C343" s="60">
        <v>200</v>
      </c>
      <c r="D343" s="60">
        <v>0</v>
      </c>
      <c r="E343" s="60">
        <f t="shared" si="5"/>
        <v>0</v>
      </c>
    </row>
    <row r="344" spans="1:5" x14ac:dyDescent="0.25">
      <c r="A344" s="60">
        <v>61</v>
      </c>
      <c r="B344" s="60" t="s">
        <v>121</v>
      </c>
      <c r="C344" s="60">
        <v>210</v>
      </c>
      <c r="D344" s="60">
        <v>32722</v>
      </c>
      <c r="E344" s="60">
        <f t="shared" si="5"/>
        <v>-32722</v>
      </c>
    </row>
    <row r="345" spans="1:5" x14ac:dyDescent="0.25">
      <c r="A345" s="60">
        <v>61</v>
      </c>
      <c r="B345" s="60" t="s">
        <v>121</v>
      </c>
      <c r="C345" s="60">
        <v>220</v>
      </c>
      <c r="D345" s="60">
        <v>0</v>
      </c>
      <c r="E345" s="60">
        <f t="shared" si="5"/>
        <v>0</v>
      </c>
    </row>
    <row r="346" spans="1:5" x14ac:dyDescent="0.25">
      <c r="A346" s="60">
        <v>61</v>
      </c>
      <c r="B346" s="60" t="s">
        <v>121</v>
      </c>
      <c r="C346" s="60">
        <v>230</v>
      </c>
      <c r="D346" s="60">
        <v>0</v>
      </c>
      <c r="E346" s="60">
        <f t="shared" si="5"/>
        <v>0</v>
      </c>
    </row>
    <row r="347" spans="1:5" x14ac:dyDescent="0.25">
      <c r="A347" s="60">
        <v>61</v>
      </c>
      <c r="B347" s="60" t="s">
        <v>121</v>
      </c>
      <c r="C347" s="60">
        <v>270</v>
      </c>
      <c r="D347" s="60">
        <v>0</v>
      </c>
      <c r="E347" s="60">
        <f t="shared" si="5"/>
        <v>0</v>
      </c>
    </row>
    <row r="348" spans="1:5" x14ac:dyDescent="0.25">
      <c r="A348" s="60">
        <v>71</v>
      </c>
      <c r="B348" s="60" t="s">
        <v>117</v>
      </c>
      <c r="C348" s="60">
        <v>1</v>
      </c>
      <c r="D348" s="60">
        <v>16423892</v>
      </c>
      <c r="E348" s="60">
        <f t="shared" si="5"/>
        <v>16423892</v>
      </c>
    </row>
    <row r="349" spans="1:5" x14ac:dyDescent="0.25">
      <c r="A349" s="60">
        <v>71</v>
      </c>
      <c r="B349" s="60" t="s">
        <v>117</v>
      </c>
      <c r="C349" s="60">
        <v>10</v>
      </c>
      <c r="D349" s="60">
        <v>26277835</v>
      </c>
      <c r="E349" s="60">
        <f t="shared" si="5"/>
        <v>26277835</v>
      </c>
    </row>
    <row r="350" spans="1:5" x14ac:dyDescent="0.25">
      <c r="A350" s="60">
        <v>71</v>
      </c>
      <c r="B350" s="60" t="s">
        <v>117</v>
      </c>
      <c r="C350" s="60">
        <v>15</v>
      </c>
      <c r="D350" s="60">
        <v>0</v>
      </c>
      <c r="E350" s="60">
        <f t="shared" si="5"/>
        <v>0</v>
      </c>
    </row>
    <row r="351" spans="1:5" x14ac:dyDescent="0.25">
      <c r="A351" s="60">
        <v>71</v>
      </c>
      <c r="B351" s="60" t="s">
        <v>117</v>
      </c>
      <c r="C351" s="60">
        <v>20</v>
      </c>
      <c r="D351" s="60">
        <v>0</v>
      </c>
      <c r="E351" s="60">
        <f t="shared" si="5"/>
        <v>0</v>
      </c>
    </row>
    <row r="352" spans="1:5" x14ac:dyDescent="0.25">
      <c r="A352" s="60">
        <v>71</v>
      </c>
      <c r="B352" s="60" t="s">
        <v>117</v>
      </c>
      <c r="C352" s="60">
        <v>50</v>
      </c>
      <c r="D352" s="60">
        <v>0</v>
      </c>
      <c r="E352" s="60">
        <f t="shared" si="5"/>
        <v>0</v>
      </c>
    </row>
    <row r="353" spans="1:5" x14ac:dyDescent="0.25">
      <c r="A353" s="60">
        <v>71</v>
      </c>
      <c r="B353" s="60" t="s">
        <v>117</v>
      </c>
      <c r="C353" s="60">
        <v>60</v>
      </c>
      <c r="D353" s="60">
        <v>55620</v>
      </c>
      <c r="E353" s="60">
        <f t="shared" si="5"/>
        <v>55620</v>
      </c>
    </row>
    <row r="354" spans="1:5" x14ac:dyDescent="0.25">
      <c r="A354" s="60">
        <v>71</v>
      </c>
      <c r="B354" s="60" t="s">
        <v>117</v>
      </c>
      <c r="C354" s="60">
        <v>70</v>
      </c>
      <c r="D354" s="60">
        <v>0</v>
      </c>
      <c r="E354" s="60">
        <f t="shared" si="5"/>
        <v>0</v>
      </c>
    </row>
    <row r="355" spans="1:5" x14ac:dyDescent="0.25">
      <c r="A355" s="60">
        <v>71</v>
      </c>
      <c r="B355" s="60" t="s">
        <v>117</v>
      </c>
      <c r="C355" s="60">
        <v>100</v>
      </c>
      <c r="D355" s="60">
        <v>0</v>
      </c>
      <c r="E355" s="60">
        <f t="shared" si="5"/>
        <v>0</v>
      </c>
    </row>
    <row r="356" spans="1:5" x14ac:dyDescent="0.25">
      <c r="A356" s="60">
        <v>71</v>
      </c>
      <c r="B356" s="60" t="s">
        <v>117</v>
      </c>
      <c r="C356" s="60">
        <v>110</v>
      </c>
      <c r="D356" s="60">
        <v>0</v>
      </c>
      <c r="E356" s="60">
        <f t="shared" si="5"/>
        <v>0</v>
      </c>
    </row>
    <row r="357" spans="1:5" x14ac:dyDescent="0.25">
      <c r="A357" s="60">
        <v>71</v>
      </c>
      <c r="B357" s="60" t="s">
        <v>117</v>
      </c>
      <c r="C357" s="60">
        <v>120</v>
      </c>
      <c r="D357" s="60">
        <v>0</v>
      </c>
      <c r="E357" s="60">
        <f t="shared" si="5"/>
        <v>0</v>
      </c>
    </row>
    <row r="358" spans="1:5" x14ac:dyDescent="0.25">
      <c r="A358" s="60">
        <v>71</v>
      </c>
      <c r="B358" s="60" t="s">
        <v>117</v>
      </c>
      <c r="C358" s="60">
        <v>130</v>
      </c>
      <c r="D358" s="60">
        <v>0</v>
      </c>
      <c r="E358" s="60">
        <f t="shared" si="5"/>
        <v>0</v>
      </c>
    </row>
    <row r="359" spans="1:5" x14ac:dyDescent="0.25">
      <c r="A359" s="60">
        <v>71</v>
      </c>
      <c r="B359" s="60" t="s">
        <v>117</v>
      </c>
      <c r="C359" s="60">
        <v>140</v>
      </c>
      <c r="D359" s="60">
        <v>26129660</v>
      </c>
      <c r="E359" s="60">
        <f t="shared" si="5"/>
        <v>-26129660</v>
      </c>
    </row>
    <row r="360" spans="1:5" x14ac:dyDescent="0.25">
      <c r="A360" s="60">
        <v>71</v>
      </c>
      <c r="B360" s="60" t="s">
        <v>117</v>
      </c>
      <c r="C360" s="60">
        <v>200</v>
      </c>
      <c r="D360" s="60">
        <v>131063</v>
      </c>
      <c r="E360" s="60">
        <f t="shared" si="5"/>
        <v>-131063</v>
      </c>
    </row>
    <row r="361" spans="1:5" x14ac:dyDescent="0.25">
      <c r="A361" s="60">
        <v>71</v>
      </c>
      <c r="B361" s="60" t="s">
        <v>117</v>
      </c>
      <c r="C361" s="60">
        <v>210</v>
      </c>
      <c r="D361" s="60">
        <v>252417</v>
      </c>
      <c r="E361" s="60">
        <f t="shared" si="5"/>
        <v>-252417</v>
      </c>
    </row>
    <row r="362" spans="1:5" x14ac:dyDescent="0.25">
      <c r="A362" s="60">
        <v>71</v>
      </c>
      <c r="B362" s="60" t="s">
        <v>117</v>
      </c>
      <c r="C362" s="60">
        <v>220</v>
      </c>
      <c r="D362" s="60">
        <v>0</v>
      </c>
      <c r="E362" s="60">
        <f t="shared" si="5"/>
        <v>0</v>
      </c>
    </row>
    <row r="363" spans="1:5" x14ac:dyDescent="0.25">
      <c r="A363" s="60">
        <v>71</v>
      </c>
      <c r="B363" s="60" t="s">
        <v>117</v>
      </c>
      <c r="C363" s="60">
        <v>230</v>
      </c>
      <c r="D363" s="60">
        <v>0</v>
      </c>
      <c r="E363" s="60">
        <f t="shared" si="5"/>
        <v>0</v>
      </c>
    </row>
    <row r="364" spans="1:5" x14ac:dyDescent="0.25">
      <c r="A364" s="60">
        <v>71</v>
      </c>
      <c r="B364" s="60" t="s">
        <v>117</v>
      </c>
      <c r="C364" s="60">
        <v>298</v>
      </c>
      <c r="D364" s="60">
        <v>0</v>
      </c>
      <c r="E364" s="60">
        <f t="shared" si="5"/>
        <v>0</v>
      </c>
    </row>
    <row r="365" spans="1:5" x14ac:dyDescent="0.25">
      <c r="A365" s="60">
        <v>71</v>
      </c>
      <c r="B365" s="60" t="s">
        <v>118</v>
      </c>
      <c r="C365" s="60">
        <v>1</v>
      </c>
      <c r="D365" s="60">
        <v>1444243</v>
      </c>
      <c r="E365" s="60">
        <f t="shared" si="5"/>
        <v>1444243</v>
      </c>
    </row>
    <row r="366" spans="1:5" x14ac:dyDescent="0.25">
      <c r="A366" s="60">
        <v>71</v>
      </c>
      <c r="B366" s="60" t="s">
        <v>118</v>
      </c>
      <c r="C366" s="60">
        <v>10</v>
      </c>
      <c r="D366" s="60">
        <v>5364540</v>
      </c>
      <c r="E366" s="60">
        <f t="shared" si="5"/>
        <v>5364540</v>
      </c>
    </row>
    <row r="367" spans="1:5" x14ac:dyDescent="0.25">
      <c r="A367" s="60">
        <v>71</v>
      </c>
      <c r="B367" s="60" t="s">
        <v>118</v>
      </c>
      <c r="C367" s="60">
        <v>20</v>
      </c>
      <c r="D367" s="60">
        <v>1397</v>
      </c>
      <c r="E367" s="60">
        <f t="shared" si="5"/>
        <v>1397</v>
      </c>
    </row>
    <row r="368" spans="1:5" x14ac:dyDescent="0.25">
      <c r="A368" s="60">
        <v>71</v>
      </c>
      <c r="B368" s="60" t="s">
        <v>118</v>
      </c>
      <c r="C368" s="60">
        <v>50</v>
      </c>
      <c r="D368" s="60">
        <v>0</v>
      </c>
      <c r="E368" s="60">
        <f t="shared" si="5"/>
        <v>0</v>
      </c>
    </row>
    <row r="369" spans="1:5" x14ac:dyDescent="0.25">
      <c r="A369" s="60">
        <v>71</v>
      </c>
      <c r="B369" s="60" t="s">
        <v>118</v>
      </c>
      <c r="C369" s="60">
        <v>60</v>
      </c>
      <c r="D369" s="60">
        <v>0</v>
      </c>
      <c r="E369" s="60">
        <f t="shared" si="5"/>
        <v>0</v>
      </c>
    </row>
    <row r="370" spans="1:5" x14ac:dyDescent="0.25">
      <c r="A370" s="60">
        <v>71</v>
      </c>
      <c r="B370" s="60" t="s">
        <v>118</v>
      </c>
      <c r="C370" s="60">
        <v>70</v>
      </c>
      <c r="D370" s="60">
        <v>0</v>
      </c>
      <c r="E370" s="60">
        <f t="shared" si="5"/>
        <v>0</v>
      </c>
    </row>
    <row r="371" spans="1:5" x14ac:dyDescent="0.25">
      <c r="A371" s="60">
        <v>71</v>
      </c>
      <c r="B371" s="60" t="s">
        <v>118</v>
      </c>
      <c r="C371" s="60">
        <v>100</v>
      </c>
      <c r="D371" s="60">
        <v>0</v>
      </c>
      <c r="E371" s="60">
        <f t="shared" si="5"/>
        <v>0</v>
      </c>
    </row>
    <row r="372" spans="1:5" x14ac:dyDescent="0.25">
      <c r="A372" s="60">
        <v>71</v>
      </c>
      <c r="B372" s="60" t="s">
        <v>118</v>
      </c>
      <c r="C372" s="60">
        <v>110</v>
      </c>
      <c r="D372" s="60">
        <v>0</v>
      </c>
      <c r="E372" s="60">
        <f t="shared" si="5"/>
        <v>0</v>
      </c>
    </row>
    <row r="373" spans="1:5" x14ac:dyDescent="0.25">
      <c r="A373" s="60">
        <v>71</v>
      </c>
      <c r="B373" s="60" t="s">
        <v>118</v>
      </c>
      <c r="C373" s="60">
        <v>120</v>
      </c>
      <c r="D373" s="60">
        <v>33780</v>
      </c>
      <c r="E373" s="60">
        <f t="shared" si="5"/>
        <v>-33780</v>
      </c>
    </row>
    <row r="374" spans="1:5" x14ac:dyDescent="0.25">
      <c r="A374" s="60">
        <v>71</v>
      </c>
      <c r="B374" s="60" t="s">
        <v>118</v>
      </c>
      <c r="C374" s="60">
        <v>130</v>
      </c>
      <c r="D374" s="60">
        <v>0</v>
      </c>
      <c r="E374" s="60">
        <f t="shared" si="5"/>
        <v>0</v>
      </c>
    </row>
    <row r="375" spans="1:5" x14ac:dyDescent="0.25">
      <c r="A375" s="60">
        <v>71</v>
      </c>
      <c r="B375" s="60" t="s">
        <v>118</v>
      </c>
      <c r="C375" s="60">
        <v>140</v>
      </c>
      <c r="D375" s="60">
        <v>0</v>
      </c>
      <c r="E375" s="60">
        <f t="shared" si="5"/>
        <v>0</v>
      </c>
    </row>
    <row r="376" spans="1:5" x14ac:dyDescent="0.25">
      <c r="A376" s="60">
        <v>71</v>
      </c>
      <c r="B376" s="60" t="s">
        <v>118</v>
      </c>
      <c r="C376" s="60">
        <v>141</v>
      </c>
      <c r="D376" s="60">
        <v>5228200</v>
      </c>
      <c r="E376" s="60">
        <f t="shared" si="5"/>
        <v>-5228200</v>
      </c>
    </row>
    <row r="377" spans="1:5" x14ac:dyDescent="0.25">
      <c r="A377" s="60">
        <v>71</v>
      </c>
      <c r="B377" s="60" t="s">
        <v>118</v>
      </c>
      <c r="C377" s="60">
        <v>200</v>
      </c>
      <c r="D377" s="60">
        <v>26476</v>
      </c>
      <c r="E377" s="60">
        <f t="shared" si="5"/>
        <v>-26476</v>
      </c>
    </row>
    <row r="378" spans="1:5" x14ac:dyDescent="0.25">
      <c r="A378" s="60">
        <v>71</v>
      </c>
      <c r="B378" s="60" t="s">
        <v>118</v>
      </c>
      <c r="C378" s="60">
        <v>210</v>
      </c>
      <c r="D378" s="60">
        <v>0</v>
      </c>
      <c r="E378" s="60">
        <f t="shared" si="5"/>
        <v>0</v>
      </c>
    </row>
    <row r="379" spans="1:5" x14ac:dyDescent="0.25">
      <c r="A379" s="60">
        <v>71</v>
      </c>
      <c r="B379" s="60" t="s">
        <v>118</v>
      </c>
      <c r="C379" s="60">
        <v>220</v>
      </c>
      <c r="D379" s="60">
        <v>141403</v>
      </c>
      <c r="E379" s="60">
        <f t="shared" si="5"/>
        <v>-141403</v>
      </c>
    </row>
    <row r="380" spans="1:5" x14ac:dyDescent="0.25">
      <c r="A380" s="60">
        <v>71</v>
      </c>
      <c r="B380" s="60" t="s">
        <v>118</v>
      </c>
      <c r="C380" s="60">
        <v>230</v>
      </c>
      <c r="D380" s="60">
        <v>141887</v>
      </c>
      <c r="E380" s="60">
        <f t="shared" si="5"/>
        <v>-141887</v>
      </c>
    </row>
    <row r="381" spans="1:5" x14ac:dyDescent="0.25">
      <c r="A381" s="60">
        <v>71</v>
      </c>
      <c r="B381" s="60" t="s">
        <v>118</v>
      </c>
      <c r="C381" s="60">
        <v>260</v>
      </c>
      <c r="D381" s="60">
        <v>0</v>
      </c>
      <c r="E381" s="60">
        <f t="shared" si="5"/>
        <v>0</v>
      </c>
    </row>
    <row r="382" spans="1:5" x14ac:dyDescent="0.25">
      <c r="A382" s="60">
        <v>71</v>
      </c>
      <c r="B382" s="60" t="s">
        <v>118</v>
      </c>
      <c r="C382" s="60">
        <v>298</v>
      </c>
      <c r="D382" s="60">
        <v>0</v>
      </c>
      <c r="E382" s="60">
        <f t="shared" si="5"/>
        <v>0</v>
      </c>
    </row>
    <row r="383" spans="1:5" x14ac:dyDescent="0.25">
      <c r="A383" s="60">
        <v>71</v>
      </c>
      <c r="B383" s="60" t="s">
        <v>119</v>
      </c>
      <c r="C383" s="60">
        <v>1</v>
      </c>
      <c r="D383" s="60">
        <v>11435959</v>
      </c>
      <c r="E383" s="60">
        <f t="shared" si="5"/>
        <v>11435959</v>
      </c>
    </row>
    <row r="384" spans="1:5" x14ac:dyDescent="0.25">
      <c r="A384" s="60">
        <v>71</v>
      </c>
      <c r="B384" s="60" t="s">
        <v>119</v>
      </c>
      <c r="C384" s="60">
        <v>10</v>
      </c>
      <c r="D384" s="60">
        <v>7818500</v>
      </c>
      <c r="E384" s="60">
        <f t="shared" si="5"/>
        <v>7818500</v>
      </c>
    </row>
    <row r="385" spans="1:5" x14ac:dyDescent="0.25">
      <c r="A385" s="60">
        <v>71</v>
      </c>
      <c r="B385" s="60" t="s">
        <v>119</v>
      </c>
      <c r="C385" s="60">
        <v>20</v>
      </c>
      <c r="D385" s="60">
        <v>56301</v>
      </c>
      <c r="E385" s="60">
        <f t="shared" si="5"/>
        <v>56301</v>
      </c>
    </row>
    <row r="386" spans="1:5" x14ac:dyDescent="0.25">
      <c r="A386" s="60">
        <v>71</v>
      </c>
      <c r="B386" s="60" t="s">
        <v>119</v>
      </c>
      <c r="C386" s="60">
        <v>50</v>
      </c>
      <c r="D386" s="60">
        <v>11720</v>
      </c>
      <c r="E386" s="60">
        <f t="shared" ref="E386:E449" si="6">IF(C386&lt;100,D386,D386*-1)</f>
        <v>11720</v>
      </c>
    </row>
    <row r="387" spans="1:5" x14ac:dyDescent="0.25">
      <c r="A387" s="60">
        <v>71</v>
      </c>
      <c r="B387" s="60" t="s">
        <v>119</v>
      </c>
      <c r="C387" s="60">
        <v>60</v>
      </c>
      <c r="D387" s="60">
        <v>0</v>
      </c>
      <c r="E387" s="60">
        <f t="shared" si="6"/>
        <v>0</v>
      </c>
    </row>
    <row r="388" spans="1:5" x14ac:dyDescent="0.25">
      <c r="A388" s="60">
        <v>71</v>
      </c>
      <c r="B388" s="60" t="s">
        <v>119</v>
      </c>
      <c r="C388" s="60">
        <v>70</v>
      </c>
      <c r="D388" s="60">
        <v>0</v>
      </c>
      <c r="E388" s="60">
        <f t="shared" si="6"/>
        <v>0</v>
      </c>
    </row>
    <row r="389" spans="1:5" x14ac:dyDescent="0.25">
      <c r="A389" s="60">
        <v>71</v>
      </c>
      <c r="B389" s="60" t="s">
        <v>119</v>
      </c>
      <c r="C389" s="60">
        <v>110</v>
      </c>
      <c r="D389" s="60">
        <v>11492020</v>
      </c>
      <c r="E389" s="60">
        <f t="shared" si="6"/>
        <v>-11492020</v>
      </c>
    </row>
    <row r="390" spans="1:5" x14ac:dyDescent="0.25">
      <c r="A390" s="60">
        <v>71</v>
      </c>
      <c r="B390" s="60" t="s">
        <v>119</v>
      </c>
      <c r="C390" s="60">
        <v>120</v>
      </c>
      <c r="D390" s="60">
        <v>0</v>
      </c>
      <c r="E390" s="60">
        <f t="shared" si="6"/>
        <v>0</v>
      </c>
    </row>
    <row r="391" spans="1:5" x14ac:dyDescent="0.25">
      <c r="A391" s="60">
        <v>71</v>
      </c>
      <c r="B391" s="60" t="s">
        <v>119</v>
      </c>
      <c r="C391" s="60">
        <v>130</v>
      </c>
      <c r="D391" s="60">
        <v>0</v>
      </c>
      <c r="E391" s="60">
        <f t="shared" si="6"/>
        <v>0</v>
      </c>
    </row>
    <row r="392" spans="1:5" x14ac:dyDescent="0.25">
      <c r="A392" s="60">
        <v>71</v>
      </c>
      <c r="B392" s="60" t="s">
        <v>119</v>
      </c>
      <c r="C392" s="60">
        <v>140</v>
      </c>
      <c r="D392" s="60">
        <v>11960</v>
      </c>
      <c r="E392" s="60">
        <f t="shared" si="6"/>
        <v>-11960</v>
      </c>
    </row>
    <row r="393" spans="1:5" x14ac:dyDescent="0.25">
      <c r="A393" s="60">
        <v>71</v>
      </c>
      <c r="B393" s="60" t="s">
        <v>119</v>
      </c>
      <c r="C393" s="60">
        <v>200</v>
      </c>
      <c r="D393" s="60">
        <v>39092</v>
      </c>
      <c r="E393" s="60">
        <f t="shared" si="6"/>
        <v>-39092</v>
      </c>
    </row>
    <row r="394" spans="1:5" x14ac:dyDescent="0.25">
      <c r="A394" s="60">
        <v>71</v>
      </c>
      <c r="B394" s="60" t="s">
        <v>119</v>
      </c>
      <c r="C394" s="60">
        <v>210</v>
      </c>
      <c r="D394" s="60">
        <v>26662</v>
      </c>
      <c r="E394" s="60">
        <f t="shared" si="6"/>
        <v>-26662</v>
      </c>
    </row>
    <row r="395" spans="1:5" x14ac:dyDescent="0.25">
      <c r="A395" s="60">
        <v>71</v>
      </c>
      <c r="B395" s="60" t="s">
        <v>119</v>
      </c>
      <c r="C395" s="60">
        <v>220</v>
      </c>
      <c r="D395" s="60">
        <v>0</v>
      </c>
      <c r="E395" s="60">
        <f t="shared" si="6"/>
        <v>0</v>
      </c>
    </row>
    <row r="396" spans="1:5" x14ac:dyDescent="0.25">
      <c r="A396" s="60">
        <v>71</v>
      </c>
      <c r="B396" s="60" t="s">
        <v>119</v>
      </c>
      <c r="C396" s="60">
        <v>230</v>
      </c>
      <c r="D396" s="60">
        <v>27451</v>
      </c>
      <c r="E396" s="60">
        <f t="shared" si="6"/>
        <v>-27451</v>
      </c>
    </row>
    <row r="397" spans="1:5" x14ac:dyDescent="0.25">
      <c r="A397" s="60">
        <v>71</v>
      </c>
      <c r="B397" s="60" t="s">
        <v>119</v>
      </c>
      <c r="C397" s="60">
        <v>270</v>
      </c>
      <c r="D397" s="60">
        <v>0</v>
      </c>
      <c r="E397" s="60">
        <f t="shared" si="6"/>
        <v>0</v>
      </c>
    </row>
    <row r="398" spans="1:5" x14ac:dyDescent="0.25">
      <c r="A398" s="60">
        <v>71</v>
      </c>
      <c r="B398" s="60" t="s">
        <v>119</v>
      </c>
      <c r="C398" s="60">
        <v>298</v>
      </c>
      <c r="D398" s="60">
        <v>0</v>
      </c>
      <c r="E398" s="60">
        <f t="shared" si="6"/>
        <v>0</v>
      </c>
    </row>
    <row r="399" spans="1:5" x14ac:dyDescent="0.25">
      <c r="A399" s="60">
        <v>71</v>
      </c>
      <c r="B399" s="60" t="s">
        <v>120</v>
      </c>
      <c r="C399" s="60">
        <v>1</v>
      </c>
      <c r="D399" s="60">
        <v>19559651</v>
      </c>
      <c r="E399" s="60">
        <f t="shared" si="6"/>
        <v>19559651</v>
      </c>
    </row>
    <row r="400" spans="1:5" x14ac:dyDescent="0.25">
      <c r="A400" s="60">
        <v>71</v>
      </c>
      <c r="B400" s="60" t="s">
        <v>120</v>
      </c>
      <c r="C400" s="60">
        <v>10</v>
      </c>
      <c r="D400" s="60">
        <v>30356700</v>
      </c>
      <c r="E400" s="60">
        <f t="shared" si="6"/>
        <v>30356700</v>
      </c>
    </row>
    <row r="401" spans="1:5" x14ac:dyDescent="0.25">
      <c r="A401" s="60">
        <v>71</v>
      </c>
      <c r="B401" s="60" t="s">
        <v>120</v>
      </c>
      <c r="C401" s="60">
        <v>20</v>
      </c>
      <c r="D401" s="60">
        <v>0</v>
      </c>
      <c r="E401" s="60">
        <f t="shared" si="6"/>
        <v>0</v>
      </c>
    </row>
    <row r="402" spans="1:5" x14ac:dyDescent="0.25">
      <c r="A402" s="60">
        <v>71</v>
      </c>
      <c r="B402" s="60" t="s">
        <v>120</v>
      </c>
      <c r="C402" s="60">
        <v>50</v>
      </c>
      <c r="D402" s="60">
        <v>104720</v>
      </c>
      <c r="E402" s="60">
        <f t="shared" si="6"/>
        <v>104720</v>
      </c>
    </row>
    <row r="403" spans="1:5" x14ac:dyDescent="0.25">
      <c r="A403" s="60">
        <v>71</v>
      </c>
      <c r="B403" s="60" t="s">
        <v>120</v>
      </c>
      <c r="C403" s="60">
        <v>60</v>
      </c>
      <c r="D403" s="60">
        <v>0</v>
      </c>
      <c r="E403" s="60">
        <f t="shared" si="6"/>
        <v>0</v>
      </c>
    </row>
    <row r="404" spans="1:5" x14ac:dyDescent="0.25">
      <c r="A404" s="60">
        <v>71</v>
      </c>
      <c r="B404" s="60" t="s">
        <v>120</v>
      </c>
      <c r="C404" s="60">
        <v>100</v>
      </c>
      <c r="D404" s="60">
        <v>0</v>
      </c>
      <c r="E404" s="60">
        <f t="shared" si="6"/>
        <v>0</v>
      </c>
    </row>
    <row r="405" spans="1:5" x14ac:dyDescent="0.25">
      <c r="A405" s="60">
        <v>71</v>
      </c>
      <c r="B405" s="60" t="s">
        <v>120</v>
      </c>
      <c r="C405" s="60">
        <v>110</v>
      </c>
      <c r="D405" s="60">
        <v>22874980</v>
      </c>
      <c r="E405" s="60">
        <f t="shared" si="6"/>
        <v>-22874980</v>
      </c>
    </row>
    <row r="406" spans="1:5" x14ac:dyDescent="0.25">
      <c r="A406" s="60">
        <v>71</v>
      </c>
      <c r="B406" s="60" t="s">
        <v>120</v>
      </c>
      <c r="C406" s="60">
        <v>120</v>
      </c>
      <c r="D406" s="60">
        <v>241740</v>
      </c>
      <c r="E406" s="60">
        <f t="shared" si="6"/>
        <v>-241740</v>
      </c>
    </row>
    <row r="407" spans="1:5" x14ac:dyDescent="0.25">
      <c r="A407" s="60">
        <v>71</v>
      </c>
      <c r="B407" s="60" t="s">
        <v>120</v>
      </c>
      <c r="C407" s="60">
        <v>130</v>
      </c>
      <c r="D407" s="60">
        <v>0</v>
      </c>
      <c r="E407" s="60">
        <f t="shared" si="6"/>
        <v>0</v>
      </c>
    </row>
    <row r="408" spans="1:5" x14ac:dyDescent="0.25">
      <c r="A408" s="60">
        <v>71</v>
      </c>
      <c r="B408" s="60" t="s">
        <v>120</v>
      </c>
      <c r="C408" s="60">
        <v>140</v>
      </c>
      <c r="D408" s="60">
        <v>0</v>
      </c>
      <c r="E408" s="60">
        <f t="shared" si="6"/>
        <v>0</v>
      </c>
    </row>
    <row r="409" spans="1:5" x14ac:dyDescent="0.25">
      <c r="A409" s="60">
        <v>71</v>
      </c>
      <c r="B409" s="60" t="s">
        <v>120</v>
      </c>
      <c r="C409" s="60">
        <v>200</v>
      </c>
      <c r="D409" s="60">
        <v>303488</v>
      </c>
      <c r="E409" s="60">
        <f t="shared" si="6"/>
        <v>-303488</v>
      </c>
    </row>
    <row r="410" spans="1:5" x14ac:dyDescent="0.25">
      <c r="A410" s="60">
        <v>71</v>
      </c>
      <c r="B410" s="60" t="s">
        <v>120</v>
      </c>
      <c r="C410" s="60">
        <v>210</v>
      </c>
      <c r="D410" s="60">
        <v>10394</v>
      </c>
      <c r="E410" s="60">
        <f t="shared" si="6"/>
        <v>-10394</v>
      </c>
    </row>
    <row r="411" spans="1:5" x14ac:dyDescent="0.25">
      <c r="A411" s="60">
        <v>71</v>
      </c>
      <c r="B411" s="60" t="s">
        <v>120</v>
      </c>
      <c r="C411" s="60">
        <v>220</v>
      </c>
      <c r="D411" s="60">
        <v>0</v>
      </c>
      <c r="E411" s="60">
        <f t="shared" si="6"/>
        <v>0</v>
      </c>
    </row>
    <row r="412" spans="1:5" x14ac:dyDescent="0.25">
      <c r="A412" s="60">
        <v>71</v>
      </c>
      <c r="B412" s="60" t="s">
        <v>120</v>
      </c>
      <c r="C412" s="60">
        <v>230</v>
      </c>
      <c r="D412" s="60">
        <v>420601</v>
      </c>
      <c r="E412" s="60">
        <f t="shared" si="6"/>
        <v>-420601</v>
      </c>
    </row>
    <row r="413" spans="1:5" x14ac:dyDescent="0.25">
      <c r="A413" s="60">
        <v>71</v>
      </c>
      <c r="B413" s="60" t="s">
        <v>120</v>
      </c>
      <c r="C413" s="60">
        <v>298</v>
      </c>
      <c r="D413" s="60">
        <v>0</v>
      </c>
      <c r="E413" s="60">
        <f t="shared" si="6"/>
        <v>0</v>
      </c>
    </row>
    <row r="414" spans="1:5" x14ac:dyDescent="0.25">
      <c r="A414" s="60">
        <v>71</v>
      </c>
      <c r="B414" s="60" t="s">
        <v>121</v>
      </c>
      <c r="C414" s="60">
        <v>1</v>
      </c>
      <c r="D414" s="60">
        <v>0</v>
      </c>
      <c r="E414" s="60">
        <f t="shared" si="6"/>
        <v>0</v>
      </c>
    </row>
    <row r="415" spans="1:5" x14ac:dyDescent="0.25">
      <c r="A415" s="60">
        <v>71</v>
      </c>
      <c r="B415" s="60" t="s">
        <v>121</v>
      </c>
      <c r="C415" s="60">
        <v>10</v>
      </c>
      <c r="D415" s="60">
        <v>0</v>
      </c>
      <c r="E415" s="60">
        <f t="shared" si="6"/>
        <v>0</v>
      </c>
    </row>
    <row r="416" spans="1:5" x14ac:dyDescent="0.25">
      <c r="A416" s="60">
        <v>71</v>
      </c>
      <c r="B416" s="60" t="s">
        <v>121</v>
      </c>
      <c r="C416" s="60">
        <v>20</v>
      </c>
      <c r="D416" s="60">
        <v>0</v>
      </c>
      <c r="E416" s="60">
        <f t="shared" si="6"/>
        <v>0</v>
      </c>
    </row>
    <row r="417" spans="1:5" x14ac:dyDescent="0.25">
      <c r="A417" s="60">
        <v>71</v>
      </c>
      <c r="B417" s="60" t="s">
        <v>121</v>
      </c>
      <c r="C417" s="60">
        <v>50</v>
      </c>
      <c r="D417" s="60">
        <v>0</v>
      </c>
      <c r="E417" s="60">
        <f t="shared" si="6"/>
        <v>0</v>
      </c>
    </row>
    <row r="418" spans="1:5" x14ac:dyDescent="0.25">
      <c r="A418" s="60">
        <v>71</v>
      </c>
      <c r="B418" s="60" t="s">
        <v>121</v>
      </c>
      <c r="C418" s="60">
        <v>60</v>
      </c>
      <c r="D418" s="60">
        <v>0</v>
      </c>
      <c r="E418" s="60">
        <f t="shared" si="6"/>
        <v>0</v>
      </c>
    </row>
    <row r="419" spans="1:5" x14ac:dyDescent="0.25">
      <c r="A419" s="60">
        <v>71</v>
      </c>
      <c r="B419" s="60" t="s">
        <v>121</v>
      </c>
      <c r="C419" s="60">
        <v>70</v>
      </c>
      <c r="D419" s="60">
        <v>0</v>
      </c>
      <c r="E419" s="60">
        <f t="shared" si="6"/>
        <v>0</v>
      </c>
    </row>
    <row r="420" spans="1:5" x14ac:dyDescent="0.25">
      <c r="A420" s="60">
        <v>71</v>
      </c>
      <c r="B420" s="60" t="s">
        <v>121</v>
      </c>
      <c r="C420" s="60">
        <v>100</v>
      </c>
      <c r="D420" s="60">
        <v>0</v>
      </c>
      <c r="E420" s="60">
        <f t="shared" si="6"/>
        <v>0</v>
      </c>
    </row>
    <row r="421" spans="1:5" x14ac:dyDescent="0.25">
      <c r="A421" s="60">
        <v>71</v>
      </c>
      <c r="B421" s="60" t="s">
        <v>121</v>
      </c>
      <c r="C421" s="60">
        <v>110</v>
      </c>
      <c r="D421" s="60">
        <v>0</v>
      </c>
      <c r="E421" s="60">
        <f t="shared" si="6"/>
        <v>0</v>
      </c>
    </row>
    <row r="422" spans="1:5" x14ac:dyDescent="0.25">
      <c r="A422" s="60">
        <v>71</v>
      </c>
      <c r="B422" s="60" t="s">
        <v>121</v>
      </c>
      <c r="C422" s="60">
        <v>120</v>
      </c>
      <c r="D422" s="60">
        <v>0</v>
      </c>
      <c r="E422" s="60">
        <f t="shared" si="6"/>
        <v>0</v>
      </c>
    </row>
    <row r="423" spans="1:5" x14ac:dyDescent="0.25">
      <c r="A423" s="60">
        <v>71</v>
      </c>
      <c r="B423" s="60" t="s">
        <v>121</v>
      </c>
      <c r="C423" s="60">
        <v>140</v>
      </c>
      <c r="D423" s="60">
        <v>0</v>
      </c>
      <c r="E423" s="60">
        <f t="shared" si="6"/>
        <v>0</v>
      </c>
    </row>
    <row r="424" spans="1:5" x14ac:dyDescent="0.25">
      <c r="A424" s="60">
        <v>71</v>
      </c>
      <c r="B424" s="60" t="s">
        <v>121</v>
      </c>
      <c r="C424" s="60">
        <v>200</v>
      </c>
      <c r="D424" s="60">
        <v>0</v>
      </c>
      <c r="E424" s="60">
        <f t="shared" si="6"/>
        <v>0</v>
      </c>
    </row>
    <row r="425" spans="1:5" x14ac:dyDescent="0.25">
      <c r="A425" s="60">
        <v>71</v>
      </c>
      <c r="B425" s="60" t="s">
        <v>121</v>
      </c>
      <c r="C425" s="60">
        <v>210</v>
      </c>
      <c r="D425" s="60">
        <v>0</v>
      </c>
      <c r="E425" s="60">
        <f t="shared" si="6"/>
        <v>0</v>
      </c>
    </row>
    <row r="426" spans="1:5" x14ac:dyDescent="0.25">
      <c r="A426" s="60">
        <v>71</v>
      </c>
      <c r="B426" s="60" t="s">
        <v>121</v>
      </c>
      <c r="C426" s="60">
        <v>230</v>
      </c>
      <c r="D426" s="60">
        <v>0</v>
      </c>
      <c r="E426" s="60">
        <f t="shared" si="6"/>
        <v>0</v>
      </c>
    </row>
    <row r="427" spans="1:5" x14ac:dyDescent="0.25">
      <c r="A427" s="60">
        <v>81</v>
      </c>
      <c r="B427" s="60" t="s">
        <v>117</v>
      </c>
      <c r="C427" s="60">
        <v>1</v>
      </c>
      <c r="D427" s="60">
        <v>0</v>
      </c>
      <c r="E427" s="60">
        <f t="shared" si="6"/>
        <v>0</v>
      </c>
    </row>
    <row r="428" spans="1:5" x14ac:dyDescent="0.25">
      <c r="A428" s="60">
        <v>81</v>
      </c>
      <c r="B428" s="60" t="s">
        <v>117</v>
      </c>
      <c r="C428" s="60">
        <v>10</v>
      </c>
      <c r="D428" s="60">
        <v>8699620</v>
      </c>
      <c r="E428" s="60">
        <f t="shared" si="6"/>
        <v>8699620</v>
      </c>
    </row>
    <row r="429" spans="1:5" x14ac:dyDescent="0.25">
      <c r="A429" s="60">
        <v>81</v>
      </c>
      <c r="B429" s="60" t="s">
        <v>117</v>
      </c>
      <c r="C429" s="60">
        <v>20</v>
      </c>
      <c r="D429" s="60">
        <v>0</v>
      </c>
      <c r="E429" s="60">
        <f t="shared" si="6"/>
        <v>0</v>
      </c>
    </row>
    <row r="430" spans="1:5" x14ac:dyDescent="0.25">
      <c r="A430" s="60">
        <v>81</v>
      </c>
      <c r="B430" s="60" t="s">
        <v>117</v>
      </c>
      <c r="C430" s="60">
        <v>50</v>
      </c>
      <c r="D430" s="60">
        <v>1627060</v>
      </c>
      <c r="E430" s="60">
        <f t="shared" si="6"/>
        <v>1627060</v>
      </c>
    </row>
    <row r="431" spans="1:5" x14ac:dyDescent="0.25">
      <c r="A431" s="60">
        <v>81</v>
      </c>
      <c r="B431" s="60" t="s">
        <v>117</v>
      </c>
      <c r="C431" s="60">
        <v>70</v>
      </c>
      <c r="D431" s="60">
        <v>0</v>
      </c>
      <c r="E431" s="60">
        <f t="shared" si="6"/>
        <v>0</v>
      </c>
    </row>
    <row r="432" spans="1:5" x14ac:dyDescent="0.25">
      <c r="A432" s="60">
        <v>81</v>
      </c>
      <c r="B432" s="60" t="s">
        <v>117</v>
      </c>
      <c r="C432" s="60">
        <v>110</v>
      </c>
      <c r="D432" s="60">
        <v>5927440</v>
      </c>
      <c r="E432" s="60">
        <f t="shared" si="6"/>
        <v>-5927440</v>
      </c>
    </row>
    <row r="433" spans="1:5" x14ac:dyDescent="0.25">
      <c r="A433" s="60">
        <v>81</v>
      </c>
      <c r="B433" s="60" t="s">
        <v>117</v>
      </c>
      <c r="C433" s="60">
        <v>120</v>
      </c>
      <c r="D433" s="60">
        <v>0</v>
      </c>
      <c r="E433" s="60">
        <f t="shared" si="6"/>
        <v>0</v>
      </c>
    </row>
    <row r="434" spans="1:5" x14ac:dyDescent="0.25">
      <c r="A434" s="60">
        <v>81</v>
      </c>
      <c r="B434" s="60" t="s">
        <v>117</v>
      </c>
      <c r="C434" s="60">
        <v>130</v>
      </c>
      <c r="D434" s="60">
        <v>0</v>
      </c>
      <c r="E434" s="60">
        <f t="shared" si="6"/>
        <v>0</v>
      </c>
    </row>
    <row r="435" spans="1:5" x14ac:dyDescent="0.25">
      <c r="A435" s="60">
        <v>81</v>
      </c>
      <c r="B435" s="60" t="s">
        <v>117</v>
      </c>
      <c r="C435" s="60">
        <v>140</v>
      </c>
      <c r="D435" s="60">
        <v>1100360</v>
      </c>
      <c r="E435" s="60">
        <f t="shared" si="6"/>
        <v>-1100360</v>
      </c>
    </row>
    <row r="436" spans="1:5" x14ac:dyDescent="0.25">
      <c r="A436" s="60">
        <v>81</v>
      </c>
      <c r="B436" s="60" t="s">
        <v>117</v>
      </c>
      <c r="C436" s="60">
        <v>200</v>
      </c>
      <c r="D436" s="60">
        <v>43399</v>
      </c>
      <c r="E436" s="60">
        <f t="shared" si="6"/>
        <v>-43399</v>
      </c>
    </row>
    <row r="437" spans="1:5" x14ac:dyDescent="0.25">
      <c r="A437" s="60">
        <v>81</v>
      </c>
      <c r="B437" s="60" t="s">
        <v>117</v>
      </c>
      <c r="C437" s="60">
        <v>210</v>
      </c>
      <c r="D437" s="60">
        <v>54216</v>
      </c>
      <c r="E437" s="60">
        <f t="shared" si="6"/>
        <v>-54216</v>
      </c>
    </row>
    <row r="438" spans="1:5" x14ac:dyDescent="0.25">
      <c r="A438" s="60">
        <v>81</v>
      </c>
      <c r="B438" s="60" t="s">
        <v>117</v>
      </c>
      <c r="C438" s="60">
        <v>220</v>
      </c>
      <c r="D438" s="60">
        <v>0</v>
      </c>
      <c r="E438" s="60">
        <f t="shared" si="6"/>
        <v>0</v>
      </c>
    </row>
    <row r="439" spans="1:5" x14ac:dyDescent="0.25">
      <c r="A439" s="60">
        <v>81</v>
      </c>
      <c r="B439" s="60" t="s">
        <v>117</v>
      </c>
      <c r="C439" s="60">
        <v>230</v>
      </c>
      <c r="D439" s="60">
        <v>0</v>
      </c>
      <c r="E439" s="60">
        <f t="shared" si="6"/>
        <v>0</v>
      </c>
    </row>
    <row r="440" spans="1:5" x14ac:dyDescent="0.25">
      <c r="A440" s="60">
        <v>81</v>
      </c>
      <c r="B440" s="60" t="s">
        <v>117</v>
      </c>
      <c r="C440" s="60">
        <v>298</v>
      </c>
      <c r="D440" s="60">
        <v>0</v>
      </c>
      <c r="E440" s="60">
        <f t="shared" si="6"/>
        <v>0</v>
      </c>
    </row>
    <row r="441" spans="1:5" x14ac:dyDescent="0.25">
      <c r="A441" s="60">
        <v>81</v>
      </c>
      <c r="B441" s="60" t="s">
        <v>118</v>
      </c>
      <c r="C441" s="60">
        <v>1</v>
      </c>
      <c r="D441" s="60">
        <v>0</v>
      </c>
      <c r="E441" s="60">
        <f t="shared" si="6"/>
        <v>0</v>
      </c>
    </row>
    <row r="442" spans="1:5" x14ac:dyDescent="0.25">
      <c r="A442" s="60">
        <v>81</v>
      </c>
      <c r="B442" s="60" t="s">
        <v>118</v>
      </c>
      <c r="C442" s="60">
        <v>10</v>
      </c>
      <c r="D442" s="60">
        <v>0</v>
      </c>
      <c r="E442" s="60">
        <f t="shared" si="6"/>
        <v>0</v>
      </c>
    </row>
    <row r="443" spans="1:5" x14ac:dyDescent="0.25">
      <c r="A443" s="60">
        <v>81</v>
      </c>
      <c r="B443" s="60" t="s">
        <v>118</v>
      </c>
      <c r="C443" s="60">
        <v>20</v>
      </c>
      <c r="D443" s="60">
        <v>0</v>
      </c>
      <c r="E443" s="60">
        <f t="shared" si="6"/>
        <v>0</v>
      </c>
    </row>
    <row r="444" spans="1:5" x14ac:dyDescent="0.25">
      <c r="A444" s="60">
        <v>81</v>
      </c>
      <c r="B444" s="60" t="s">
        <v>118</v>
      </c>
      <c r="C444" s="60">
        <v>50</v>
      </c>
      <c r="D444" s="60">
        <v>0</v>
      </c>
      <c r="E444" s="60">
        <f t="shared" si="6"/>
        <v>0</v>
      </c>
    </row>
    <row r="445" spans="1:5" x14ac:dyDescent="0.25">
      <c r="A445" s="60">
        <v>81</v>
      </c>
      <c r="B445" s="60" t="s">
        <v>118</v>
      </c>
      <c r="C445" s="60">
        <v>70</v>
      </c>
      <c r="D445" s="60">
        <v>0</v>
      </c>
      <c r="E445" s="60">
        <f t="shared" si="6"/>
        <v>0</v>
      </c>
    </row>
    <row r="446" spans="1:5" x14ac:dyDescent="0.25">
      <c r="A446" s="60">
        <v>81</v>
      </c>
      <c r="B446" s="60" t="s">
        <v>118</v>
      </c>
      <c r="C446" s="60">
        <v>110</v>
      </c>
      <c r="D446" s="60">
        <v>0</v>
      </c>
      <c r="E446" s="60">
        <f t="shared" si="6"/>
        <v>0</v>
      </c>
    </row>
    <row r="447" spans="1:5" x14ac:dyDescent="0.25">
      <c r="A447" s="60">
        <v>81</v>
      </c>
      <c r="B447" s="60" t="s">
        <v>118</v>
      </c>
      <c r="C447" s="60">
        <v>120</v>
      </c>
      <c r="D447" s="60">
        <v>0</v>
      </c>
      <c r="E447" s="60">
        <f t="shared" si="6"/>
        <v>0</v>
      </c>
    </row>
    <row r="448" spans="1:5" x14ac:dyDescent="0.25">
      <c r="A448" s="60">
        <v>81</v>
      </c>
      <c r="B448" s="60" t="s">
        <v>118</v>
      </c>
      <c r="C448" s="60">
        <v>130</v>
      </c>
      <c r="D448" s="60">
        <v>0</v>
      </c>
      <c r="E448" s="60">
        <f t="shared" si="6"/>
        <v>0</v>
      </c>
    </row>
    <row r="449" spans="1:5" x14ac:dyDescent="0.25">
      <c r="A449" s="60">
        <v>81</v>
      </c>
      <c r="B449" s="60" t="s">
        <v>118</v>
      </c>
      <c r="C449" s="60">
        <v>140</v>
      </c>
      <c r="D449" s="60">
        <v>0</v>
      </c>
      <c r="E449" s="60">
        <f t="shared" si="6"/>
        <v>0</v>
      </c>
    </row>
    <row r="450" spans="1:5" x14ac:dyDescent="0.25">
      <c r="A450" s="60">
        <v>81</v>
      </c>
      <c r="B450" s="60" t="s">
        <v>118</v>
      </c>
      <c r="C450" s="60">
        <v>200</v>
      </c>
      <c r="D450" s="60">
        <v>0</v>
      </c>
      <c r="E450" s="60">
        <f t="shared" ref="E450:E513" si="7">IF(C450&lt;100,D450,D450*-1)</f>
        <v>0</v>
      </c>
    </row>
    <row r="451" spans="1:5" x14ac:dyDescent="0.25">
      <c r="A451" s="60">
        <v>81</v>
      </c>
      <c r="B451" s="60" t="s">
        <v>118</v>
      </c>
      <c r="C451" s="60">
        <v>210</v>
      </c>
      <c r="D451" s="60">
        <v>0</v>
      </c>
      <c r="E451" s="60">
        <f t="shared" si="7"/>
        <v>0</v>
      </c>
    </row>
    <row r="452" spans="1:5" x14ac:dyDescent="0.25">
      <c r="A452" s="60">
        <v>81</v>
      </c>
      <c r="B452" s="60" t="s">
        <v>118</v>
      </c>
      <c r="C452" s="60">
        <v>220</v>
      </c>
      <c r="D452" s="60">
        <v>0</v>
      </c>
      <c r="E452" s="60">
        <f t="shared" si="7"/>
        <v>0</v>
      </c>
    </row>
    <row r="453" spans="1:5" x14ac:dyDescent="0.25">
      <c r="A453" s="60">
        <v>81</v>
      </c>
      <c r="B453" s="60" t="s">
        <v>118</v>
      </c>
      <c r="C453" s="60">
        <v>230</v>
      </c>
      <c r="D453" s="60">
        <v>0</v>
      </c>
      <c r="E453" s="60">
        <f t="shared" si="7"/>
        <v>0</v>
      </c>
    </row>
    <row r="454" spans="1:5" x14ac:dyDescent="0.25">
      <c r="A454" s="60">
        <v>81</v>
      </c>
      <c r="B454" s="60" t="s">
        <v>118</v>
      </c>
      <c r="C454" s="60">
        <v>260</v>
      </c>
      <c r="D454" s="60">
        <v>0</v>
      </c>
      <c r="E454" s="60">
        <f t="shared" si="7"/>
        <v>0</v>
      </c>
    </row>
    <row r="455" spans="1:5" x14ac:dyDescent="0.25">
      <c r="A455" s="60">
        <v>81</v>
      </c>
      <c r="B455" s="60" t="s">
        <v>118</v>
      </c>
      <c r="C455" s="60">
        <v>298</v>
      </c>
      <c r="D455" s="60">
        <v>0</v>
      </c>
      <c r="E455" s="60">
        <f t="shared" si="7"/>
        <v>0</v>
      </c>
    </row>
    <row r="456" spans="1:5" x14ac:dyDescent="0.25">
      <c r="A456" s="60">
        <v>81</v>
      </c>
      <c r="B456" s="60" t="s">
        <v>119</v>
      </c>
      <c r="C456" s="60">
        <v>1</v>
      </c>
      <c r="D456" s="60">
        <v>0</v>
      </c>
      <c r="E456" s="60">
        <f t="shared" si="7"/>
        <v>0</v>
      </c>
    </row>
    <row r="457" spans="1:5" x14ac:dyDescent="0.25">
      <c r="A457" s="60">
        <v>81</v>
      </c>
      <c r="B457" s="60" t="s">
        <v>119</v>
      </c>
      <c r="C457" s="60">
        <v>10</v>
      </c>
      <c r="D457" s="60">
        <v>0</v>
      </c>
      <c r="E457" s="60">
        <f t="shared" si="7"/>
        <v>0</v>
      </c>
    </row>
    <row r="458" spans="1:5" x14ac:dyDescent="0.25">
      <c r="A458" s="60">
        <v>81</v>
      </c>
      <c r="B458" s="60" t="s">
        <v>119</v>
      </c>
      <c r="C458" s="60">
        <v>50</v>
      </c>
      <c r="D458" s="60">
        <v>0</v>
      </c>
      <c r="E458" s="60">
        <f t="shared" si="7"/>
        <v>0</v>
      </c>
    </row>
    <row r="459" spans="1:5" x14ac:dyDescent="0.25">
      <c r="A459" s="60">
        <v>81</v>
      </c>
      <c r="B459" s="60" t="s">
        <v>119</v>
      </c>
      <c r="C459" s="60">
        <v>110</v>
      </c>
      <c r="D459" s="60">
        <v>0</v>
      </c>
      <c r="E459" s="60">
        <f t="shared" si="7"/>
        <v>0</v>
      </c>
    </row>
    <row r="460" spans="1:5" x14ac:dyDescent="0.25">
      <c r="A460" s="60">
        <v>81</v>
      </c>
      <c r="B460" s="60" t="s">
        <v>119</v>
      </c>
      <c r="C460" s="60">
        <v>140</v>
      </c>
      <c r="D460" s="60">
        <v>0</v>
      </c>
      <c r="E460" s="60">
        <f t="shared" si="7"/>
        <v>0</v>
      </c>
    </row>
    <row r="461" spans="1:5" x14ac:dyDescent="0.25">
      <c r="A461" s="60">
        <v>81</v>
      </c>
      <c r="B461" s="60" t="s">
        <v>119</v>
      </c>
      <c r="C461" s="60">
        <v>200</v>
      </c>
      <c r="D461" s="60">
        <v>0</v>
      </c>
      <c r="E461" s="60">
        <f t="shared" si="7"/>
        <v>0</v>
      </c>
    </row>
    <row r="462" spans="1:5" x14ac:dyDescent="0.25">
      <c r="A462" s="60">
        <v>81</v>
      </c>
      <c r="B462" s="60" t="s">
        <v>119</v>
      </c>
      <c r="C462" s="60">
        <v>220</v>
      </c>
      <c r="D462" s="60">
        <v>0</v>
      </c>
      <c r="E462" s="60">
        <f t="shared" si="7"/>
        <v>0</v>
      </c>
    </row>
    <row r="463" spans="1:5" x14ac:dyDescent="0.25">
      <c r="A463" s="60">
        <v>81</v>
      </c>
      <c r="B463" s="60" t="s">
        <v>120</v>
      </c>
      <c r="C463" s="60">
        <v>140</v>
      </c>
      <c r="D463" s="60">
        <v>0</v>
      </c>
      <c r="E463" s="60">
        <f t="shared" si="7"/>
        <v>0</v>
      </c>
    </row>
    <row r="464" spans="1:5" x14ac:dyDescent="0.25">
      <c r="A464" s="60">
        <v>81</v>
      </c>
      <c r="B464" s="60" t="s">
        <v>120</v>
      </c>
      <c r="C464" s="60">
        <v>160</v>
      </c>
      <c r="D464" s="60">
        <v>0</v>
      </c>
      <c r="E464" s="60">
        <f t="shared" si="7"/>
        <v>0</v>
      </c>
    </row>
    <row r="465" spans="1:5" x14ac:dyDescent="0.25">
      <c r="A465" s="60">
        <v>91</v>
      </c>
      <c r="B465" s="60" t="s">
        <v>117</v>
      </c>
      <c r="C465" s="60">
        <v>1</v>
      </c>
      <c r="D465" s="60">
        <v>17355165</v>
      </c>
      <c r="E465" s="60">
        <f t="shared" si="7"/>
        <v>17355165</v>
      </c>
    </row>
    <row r="466" spans="1:5" x14ac:dyDescent="0.25">
      <c r="A466" s="60">
        <v>91</v>
      </c>
      <c r="B466" s="60" t="s">
        <v>117</v>
      </c>
      <c r="C466" s="60">
        <v>10</v>
      </c>
      <c r="D466" s="60">
        <v>1731480</v>
      </c>
      <c r="E466" s="60">
        <f t="shared" si="7"/>
        <v>1731480</v>
      </c>
    </row>
    <row r="467" spans="1:5" x14ac:dyDescent="0.25">
      <c r="A467" s="60">
        <v>91</v>
      </c>
      <c r="B467" s="60" t="s">
        <v>117</v>
      </c>
      <c r="C467" s="60">
        <v>20</v>
      </c>
      <c r="D467" s="60">
        <v>0</v>
      </c>
      <c r="E467" s="60">
        <f t="shared" si="7"/>
        <v>0</v>
      </c>
    </row>
    <row r="468" spans="1:5" x14ac:dyDescent="0.25">
      <c r="A468" s="60">
        <v>91</v>
      </c>
      <c r="B468" s="60" t="s">
        <v>117</v>
      </c>
      <c r="C468" s="60">
        <v>50</v>
      </c>
      <c r="D468" s="60">
        <v>18774200</v>
      </c>
      <c r="E468" s="60">
        <f t="shared" si="7"/>
        <v>18774200</v>
      </c>
    </row>
    <row r="469" spans="1:5" x14ac:dyDescent="0.25">
      <c r="A469" s="60">
        <v>91</v>
      </c>
      <c r="B469" s="60" t="s">
        <v>117</v>
      </c>
      <c r="C469" s="60">
        <v>51</v>
      </c>
      <c r="D469" s="60">
        <v>2320300</v>
      </c>
      <c r="E469" s="60">
        <f t="shared" si="7"/>
        <v>2320300</v>
      </c>
    </row>
    <row r="470" spans="1:5" x14ac:dyDescent="0.25">
      <c r="A470" s="60">
        <v>91</v>
      </c>
      <c r="B470" s="60" t="s">
        <v>117</v>
      </c>
      <c r="C470" s="60">
        <v>70</v>
      </c>
      <c r="D470" s="60">
        <v>0</v>
      </c>
      <c r="E470" s="60">
        <f t="shared" si="7"/>
        <v>0</v>
      </c>
    </row>
    <row r="471" spans="1:5" x14ac:dyDescent="0.25">
      <c r="A471" s="60">
        <v>91</v>
      </c>
      <c r="B471" s="60" t="s">
        <v>117</v>
      </c>
      <c r="C471" s="60">
        <v>110</v>
      </c>
      <c r="D471" s="60">
        <v>452900</v>
      </c>
      <c r="E471" s="60">
        <f t="shared" si="7"/>
        <v>-452900</v>
      </c>
    </row>
    <row r="472" spans="1:5" x14ac:dyDescent="0.25">
      <c r="A472" s="60">
        <v>91</v>
      </c>
      <c r="B472" s="60" t="s">
        <v>117</v>
      </c>
      <c r="C472" s="60">
        <v>120</v>
      </c>
      <c r="D472" s="60">
        <v>0</v>
      </c>
      <c r="E472" s="60">
        <f t="shared" si="7"/>
        <v>0</v>
      </c>
    </row>
    <row r="473" spans="1:5" x14ac:dyDescent="0.25">
      <c r="A473" s="60">
        <v>91</v>
      </c>
      <c r="B473" s="60" t="s">
        <v>117</v>
      </c>
      <c r="C473" s="60">
        <v>130</v>
      </c>
      <c r="D473" s="60">
        <v>0</v>
      </c>
      <c r="E473" s="60">
        <f t="shared" si="7"/>
        <v>0</v>
      </c>
    </row>
    <row r="474" spans="1:5" x14ac:dyDescent="0.25">
      <c r="A474" s="60">
        <v>91</v>
      </c>
      <c r="B474" s="60" t="s">
        <v>117</v>
      </c>
      <c r="C474" s="60">
        <v>140</v>
      </c>
      <c r="D474" s="60">
        <v>0</v>
      </c>
      <c r="E474" s="60">
        <f t="shared" si="7"/>
        <v>0</v>
      </c>
    </row>
    <row r="475" spans="1:5" x14ac:dyDescent="0.25">
      <c r="A475" s="60">
        <v>91</v>
      </c>
      <c r="B475" s="60" t="s">
        <v>117</v>
      </c>
      <c r="C475" s="60">
        <v>141</v>
      </c>
      <c r="D475" s="60">
        <v>16753920</v>
      </c>
      <c r="E475" s="60">
        <f t="shared" si="7"/>
        <v>-16753920</v>
      </c>
    </row>
    <row r="476" spans="1:5" x14ac:dyDescent="0.25">
      <c r="A476" s="60">
        <v>91</v>
      </c>
      <c r="B476" s="60" t="s">
        <v>117</v>
      </c>
      <c r="C476" s="60">
        <v>200</v>
      </c>
      <c r="D476" s="60">
        <v>8155</v>
      </c>
      <c r="E476" s="60">
        <f t="shared" si="7"/>
        <v>-8155</v>
      </c>
    </row>
    <row r="477" spans="1:5" x14ac:dyDescent="0.25">
      <c r="A477" s="60">
        <v>91</v>
      </c>
      <c r="B477" s="60" t="s">
        <v>117</v>
      </c>
      <c r="C477" s="60">
        <v>210</v>
      </c>
      <c r="D477" s="60">
        <v>110650</v>
      </c>
      <c r="E477" s="60">
        <f t="shared" si="7"/>
        <v>-110650</v>
      </c>
    </row>
    <row r="478" spans="1:5" x14ac:dyDescent="0.25">
      <c r="A478" s="60">
        <v>91</v>
      </c>
      <c r="B478" s="60" t="s">
        <v>117</v>
      </c>
      <c r="C478" s="60">
        <v>211</v>
      </c>
      <c r="D478" s="60">
        <v>48995</v>
      </c>
      <c r="E478" s="60">
        <f t="shared" si="7"/>
        <v>-48995</v>
      </c>
    </row>
    <row r="479" spans="1:5" x14ac:dyDescent="0.25">
      <c r="A479" s="60">
        <v>91</v>
      </c>
      <c r="B479" s="60" t="s">
        <v>117</v>
      </c>
      <c r="C479" s="60">
        <v>220</v>
      </c>
      <c r="D479" s="60">
        <v>0</v>
      </c>
      <c r="E479" s="60">
        <f t="shared" si="7"/>
        <v>0</v>
      </c>
    </row>
    <row r="480" spans="1:5" x14ac:dyDescent="0.25">
      <c r="A480" s="60">
        <v>91</v>
      </c>
      <c r="B480" s="60" t="s">
        <v>117</v>
      </c>
      <c r="C480" s="60">
        <v>230</v>
      </c>
      <c r="D480" s="60">
        <v>0</v>
      </c>
      <c r="E480" s="60">
        <f t="shared" si="7"/>
        <v>0</v>
      </c>
    </row>
    <row r="481" spans="1:5" x14ac:dyDescent="0.25">
      <c r="A481" s="60">
        <v>91</v>
      </c>
      <c r="B481" s="60" t="s">
        <v>117</v>
      </c>
      <c r="C481" s="60">
        <v>298</v>
      </c>
      <c r="D481" s="60">
        <v>0</v>
      </c>
      <c r="E481" s="60">
        <f t="shared" si="7"/>
        <v>0</v>
      </c>
    </row>
    <row r="482" spans="1:5" x14ac:dyDescent="0.25">
      <c r="A482" s="60">
        <v>91</v>
      </c>
      <c r="B482" s="60" t="s">
        <v>118</v>
      </c>
      <c r="C482" s="60">
        <v>1</v>
      </c>
      <c r="D482" s="60">
        <v>0</v>
      </c>
      <c r="E482" s="60">
        <f t="shared" si="7"/>
        <v>0</v>
      </c>
    </row>
    <row r="483" spans="1:5" x14ac:dyDescent="0.25">
      <c r="A483" s="60">
        <v>91</v>
      </c>
      <c r="B483" s="60" t="s">
        <v>118</v>
      </c>
      <c r="C483" s="60">
        <v>10</v>
      </c>
      <c r="D483" s="60">
        <v>163480</v>
      </c>
      <c r="E483" s="60">
        <f t="shared" si="7"/>
        <v>163480</v>
      </c>
    </row>
    <row r="484" spans="1:5" x14ac:dyDescent="0.25">
      <c r="A484" s="60">
        <v>91</v>
      </c>
      <c r="B484" s="60" t="s">
        <v>118</v>
      </c>
      <c r="C484" s="60">
        <v>20</v>
      </c>
      <c r="D484" s="60">
        <v>0</v>
      </c>
      <c r="E484" s="60">
        <f t="shared" si="7"/>
        <v>0</v>
      </c>
    </row>
    <row r="485" spans="1:5" x14ac:dyDescent="0.25">
      <c r="A485" s="60">
        <v>91</v>
      </c>
      <c r="B485" s="60" t="s">
        <v>118</v>
      </c>
      <c r="C485" s="60">
        <v>50</v>
      </c>
      <c r="D485" s="60">
        <v>108820</v>
      </c>
      <c r="E485" s="60">
        <f t="shared" si="7"/>
        <v>108820</v>
      </c>
    </row>
    <row r="486" spans="1:5" x14ac:dyDescent="0.25">
      <c r="A486" s="60">
        <v>91</v>
      </c>
      <c r="B486" s="60" t="s">
        <v>118</v>
      </c>
      <c r="C486" s="60">
        <v>70</v>
      </c>
      <c r="D486" s="60">
        <v>0</v>
      </c>
      <c r="E486" s="60">
        <f t="shared" si="7"/>
        <v>0</v>
      </c>
    </row>
    <row r="487" spans="1:5" x14ac:dyDescent="0.25">
      <c r="A487" s="60">
        <v>91</v>
      </c>
      <c r="B487" s="60" t="s">
        <v>118</v>
      </c>
      <c r="C487" s="60">
        <v>110</v>
      </c>
      <c r="D487" s="60">
        <v>0</v>
      </c>
      <c r="E487" s="60">
        <f t="shared" si="7"/>
        <v>0</v>
      </c>
    </row>
    <row r="488" spans="1:5" x14ac:dyDescent="0.25">
      <c r="A488" s="60">
        <v>91</v>
      </c>
      <c r="B488" s="60" t="s">
        <v>118</v>
      </c>
      <c r="C488" s="60">
        <v>120</v>
      </c>
      <c r="D488" s="60">
        <v>0</v>
      </c>
      <c r="E488" s="60">
        <f t="shared" si="7"/>
        <v>0</v>
      </c>
    </row>
    <row r="489" spans="1:5" x14ac:dyDescent="0.25">
      <c r="A489" s="60">
        <v>91</v>
      </c>
      <c r="B489" s="60" t="s">
        <v>118</v>
      </c>
      <c r="C489" s="60">
        <v>130</v>
      </c>
      <c r="D489" s="60">
        <v>0</v>
      </c>
      <c r="E489" s="60">
        <f t="shared" si="7"/>
        <v>0</v>
      </c>
    </row>
    <row r="490" spans="1:5" x14ac:dyDescent="0.25">
      <c r="A490" s="60">
        <v>91</v>
      </c>
      <c r="B490" s="60" t="s">
        <v>118</v>
      </c>
      <c r="C490" s="60">
        <v>140</v>
      </c>
      <c r="D490" s="60">
        <v>0</v>
      </c>
      <c r="E490" s="60">
        <f t="shared" si="7"/>
        <v>0</v>
      </c>
    </row>
    <row r="491" spans="1:5" x14ac:dyDescent="0.25">
      <c r="A491" s="60">
        <v>91</v>
      </c>
      <c r="B491" s="60" t="s">
        <v>118</v>
      </c>
      <c r="C491" s="60">
        <v>141</v>
      </c>
      <c r="D491" s="60">
        <v>271380</v>
      </c>
      <c r="E491" s="60">
        <f t="shared" si="7"/>
        <v>-271380</v>
      </c>
    </row>
    <row r="492" spans="1:5" x14ac:dyDescent="0.25">
      <c r="A492" s="60">
        <v>91</v>
      </c>
      <c r="B492" s="60" t="s">
        <v>118</v>
      </c>
      <c r="C492" s="60">
        <v>160</v>
      </c>
      <c r="D492" s="60">
        <v>0</v>
      </c>
      <c r="E492" s="60">
        <f t="shared" si="7"/>
        <v>0</v>
      </c>
    </row>
    <row r="493" spans="1:5" x14ac:dyDescent="0.25">
      <c r="A493" s="60">
        <v>91</v>
      </c>
      <c r="B493" s="60" t="s">
        <v>118</v>
      </c>
      <c r="C493" s="60">
        <v>200</v>
      </c>
      <c r="D493" s="60">
        <v>817</v>
      </c>
      <c r="E493" s="60">
        <f t="shared" si="7"/>
        <v>-817</v>
      </c>
    </row>
    <row r="494" spans="1:5" x14ac:dyDescent="0.25">
      <c r="A494" s="60">
        <v>91</v>
      </c>
      <c r="B494" s="60" t="s">
        <v>118</v>
      </c>
      <c r="C494" s="60">
        <v>210</v>
      </c>
      <c r="D494" s="60">
        <v>0</v>
      </c>
      <c r="E494" s="60">
        <f t="shared" si="7"/>
        <v>0</v>
      </c>
    </row>
    <row r="495" spans="1:5" x14ac:dyDescent="0.25">
      <c r="A495" s="60">
        <v>91</v>
      </c>
      <c r="B495" s="60" t="s">
        <v>118</v>
      </c>
      <c r="C495" s="60">
        <v>220</v>
      </c>
      <c r="D495" s="60">
        <v>0</v>
      </c>
      <c r="E495" s="60">
        <f t="shared" si="7"/>
        <v>0</v>
      </c>
    </row>
    <row r="496" spans="1:5" x14ac:dyDescent="0.25">
      <c r="A496" s="60">
        <v>91</v>
      </c>
      <c r="B496" s="60" t="s">
        <v>118</v>
      </c>
      <c r="C496" s="60">
        <v>230</v>
      </c>
      <c r="D496" s="60">
        <v>4595</v>
      </c>
      <c r="E496" s="60">
        <f t="shared" si="7"/>
        <v>-4595</v>
      </c>
    </row>
    <row r="497" spans="1:5" x14ac:dyDescent="0.25">
      <c r="A497" s="60">
        <v>91</v>
      </c>
      <c r="B497" s="60" t="s">
        <v>118</v>
      </c>
      <c r="C497" s="60">
        <v>260</v>
      </c>
      <c r="D497" s="60">
        <v>0</v>
      </c>
      <c r="E497" s="60">
        <f t="shared" si="7"/>
        <v>0</v>
      </c>
    </row>
    <row r="498" spans="1:5" x14ac:dyDescent="0.25">
      <c r="A498" s="60">
        <v>91</v>
      </c>
      <c r="B498" s="60" t="s">
        <v>118</v>
      </c>
      <c r="C498" s="60">
        <v>298</v>
      </c>
      <c r="D498" s="60">
        <v>0</v>
      </c>
      <c r="E498" s="60">
        <f t="shared" si="7"/>
        <v>0</v>
      </c>
    </row>
    <row r="499" spans="1:5" x14ac:dyDescent="0.25">
      <c r="A499" s="60">
        <v>91</v>
      </c>
      <c r="B499" s="60" t="s">
        <v>119</v>
      </c>
      <c r="C499" s="60">
        <v>1</v>
      </c>
      <c r="D499" s="60">
        <v>6614431</v>
      </c>
      <c r="E499" s="60">
        <f t="shared" si="7"/>
        <v>6614431</v>
      </c>
    </row>
    <row r="500" spans="1:5" x14ac:dyDescent="0.25">
      <c r="A500" s="60">
        <v>91</v>
      </c>
      <c r="B500" s="60" t="s">
        <v>119</v>
      </c>
      <c r="C500" s="60">
        <v>10</v>
      </c>
      <c r="D500" s="60">
        <v>419380</v>
      </c>
      <c r="E500" s="60">
        <f t="shared" si="7"/>
        <v>419380</v>
      </c>
    </row>
    <row r="501" spans="1:5" x14ac:dyDescent="0.25">
      <c r="A501" s="60">
        <v>91</v>
      </c>
      <c r="B501" s="60" t="s">
        <v>119</v>
      </c>
      <c r="C501" s="60">
        <v>20</v>
      </c>
      <c r="D501" s="60">
        <v>0</v>
      </c>
      <c r="E501" s="60">
        <f t="shared" si="7"/>
        <v>0</v>
      </c>
    </row>
    <row r="502" spans="1:5" x14ac:dyDescent="0.25">
      <c r="A502" s="60">
        <v>91</v>
      </c>
      <c r="B502" s="60" t="s">
        <v>119</v>
      </c>
      <c r="C502" s="60">
        <v>50</v>
      </c>
      <c r="D502" s="60">
        <v>7306460</v>
      </c>
      <c r="E502" s="60">
        <f t="shared" si="7"/>
        <v>7306460</v>
      </c>
    </row>
    <row r="503" spans="1:5" x14ac:dyDescent="0.25">
      <c r="A503" s="60">
        <v>91</v>
      </c>
      <c r="B503" s="60" t="s">
        <v>119</v>
      </c>
      <c r="C503" s="60">
        <v>70</v>
      </c>
      <c r="D503" s="60">
        <v>0</v>
      </c>
      <c r="E503" s="60">
        <f t="shared" si="7"/>
        <v>0</v>
      </c>
    </row>
    <row r="504" spans="1:5" x14ac:dyDescent="0.25">
      <c r="A504" s="60">
        <v>91</v>
      </c>
      <c r="B504" s="60" t="s">
        <v>119</v>
      </c>
      <c r="C504" s="60">
        <v>110</v>
      </c>
      <c r="D504" s="60">
        <v>6463480</v>
      </c>
      <c r="E504" s="60">
        <f t="shared" si="7"/>
        <v>-6463480</v>
      </c>
    </row>
    <row r="505" spans="1:5" x14ac:dyDescent="0.25">
      <c r="A505" s="60">
        <v>91</v>
      </c>
      <c r="B505" s="60" t="s">
        <v>119</v>
      </c>
      <c r="C505" s="60">
        <v>120</v>
      </c>
      <c r="D505" s="60">
        <v>320</v>
      </c>
      <c r="E505" s="60">
        <f t="shared" si="7"/>
        <v>-320</v>
      </c>
    </row>
    <row r="506" spans="1:5" x14ac:dyDescent="0.25">
      <c r="A506" s="60">
        <v>91</v>
      </c>
      <c r="B506" s="60" t="s">
        <v>119</v>
      </c>
      <c r="C506" s="60">
        <v>130</v>
      </c>
      <c r="D506" s="60">
        <v>0</v>
      </c>
      <c r="E506" s="60">
        <f t="shared" si="7"/>
        <v>0</v>
      </c>
    </row>
    <row r="507" spans="1:5" x14ac:dyDescent="0.25">
      <c r="A507" s="60">
        <v>91</v>
      </c>
      <c r="B507" s="60" t="s">
        <v>119</v>
      </c>
      <c r="C507" s="60">
        <v>140</v>
      </c>
      <c r="D507" s="60">
        <v>0</v>
      </c>
      <c r="E507" s="60">
        <f t="shared" si="7"/>
        <v>0</v>
      </c>
    </row>
    <row r="508" spans="1:5" x14ac:dyDescent="0.25">
      <c r="A508" s="60">
        <v>91</v>
      </c>
      <c r="B508" s="60" t="s">
        <v>119</v>
      </c>
      <c r="C508" s="60">
        <v>200</v>
      </c>
      <c r="D508" s="60">
        <v>1939</v>
      </c>
      <c r="E508" s="60">
        <f t="shared" si="7"/>
        <v>-1939</v>
      </c>
    </row>
    <row r="509" spans="1:5" x14ac:dyDescent="0.25">
      <c r="A509" s="60">
        <v>91</v>
      </c>
      <c r="B509" s="60" t="s">
        <v>119</v>
      </c>
      <c r="C509" s="60">
        <v>210</v>
      </c>
      <c r="D509" s="60">
        <v>56641</v>
      </c>
      <c r="E509" s="60">
        <f t="shared" si="7"/>
        <v>-56641</v>
      </c>
    </row>
    <row r="510" spans="1:5" x14ac:dyDescent="0.25">
      <c r="A510" s="60">
        <v>91</v>
      </c>
      <c r="B510" s="60" t="s">
        <v>119</v>
      </c>
      <c r="C510" s="60">
        <v>220</v>
      </c>
      <c r="D510" s="60">
        <v>0</v>
      </c>
      <c r="E510" s="60">
        <f t="shared" si="7"/>
        <v>0</v>
      </c>
    </row>
    <row r="511" spans="1:5" x14ac:dyDescent="0.25">
      <c r="A511" s="60">
        <v>91</v>
      </c>
      <c r="B511" s="60" t="s">
        <v>119</v>
      </c>
      <c r="C511" s="60">
        <v>230</v>
      </c>
      <c r="D511" s="60">
        <v>16872</v>
      </c>
      <c r="E511" s="60">
        <f t="shared" si="7"/>
        <v>-16872</v>
      </c>
    </row>
    <row r="512" spans="1:5" x14ac:dyDescent="0.25">
      <c r="A512" s="60">
        <v>91</v>
      </c>
      <c r="B512" s="60" t="s">
        <v>119</v>
      </c>
      <c r="C512" s="60">
        <v>270</v>
      </c>
      <c r="D512" s="60">
        <v>0</v>
      </c>
      <c r="E512" s="60">
        <f t="shared" si="7"/>
        <v>0</v>
      </c>
    </row>
    <row r="513" spans="1:5" x14ac:dyDescent="0.25">
      <c r="A513" s="60">
        <v>91</v>
      </c>
      <c r="B513" s="60" t="s">
        <v>119</v>
      </c>
      <c r="C513" s="60">
        <v>298</v>
      </c>
      <c r="D513" s="60">
        <v>0</v>
      </c>
      <c r="E513" s="60">
        <f t="shared" si="7"/>
        <v>0</v>
      </c>
    </row>
    <row r="514" spans="1:5" x14ac:dyDescent="0.25">
      <c r="A514" s="60">
        <v>91</v>
      </c>
      <c r="B514" s="60" t="s">
        <v>120</v>
      </c>
      <c r="C514" s="60">
        <v>1</v>
      </c>
      <c r="D514" s="60">
        <v>8463863</v>
      </c>
      <c r="E514" s="60">
        <f t="shared" ref="E514:E577" si="8">IF(C514&lt;100,D514,D514*-1)</f>
        <v>8463863</v>
      </c>
    </row>
    <row r="515" spans="1:5" x14ac:dyDescent="0.25">
      <c r="A515" s="60">
        <v>91</v>
      </c>
      <c r="B515" s="60" t="s">
        <v>120</v>
      </c>
      <c r="C515" s="60">
        <v>10</v>
      </c>
      <c r="D515" s="60">
        <v>0</v>
      </c>
      <c r="E515" s="60">
        <f t="shared" si="8"/>
        <v>0</v>
      </c>
    </row>
    <row r="516" spans="1:5" x14ac:dyDescent="0.25">
      <c r="A516" s="60">
        <v>91</v>
      </c>
      <c r="B516" s="60" t="s">
        <v>120</v>
      </c>
      <c r="C516" s="60">
        <v>20</v>
      </c>
      <c r="D516" s="60">
        <v>0</v>
      </c>
      <c r="E516" s="60">
        <f t="shared" si="8"/>
        <v>0</v>
      </c>
    </row>
    <row r="517" spans="1:5" x14ac:dyDescent="0.25">
      <c r="A517" s="60">
        <v>91</v>
      </c>
      <c r="B517" s="60" t="s">
        <v>120</v>
      </c>
      <c r="C517" s="60">
        <v>50</v>
      </c>
      <c r="D517" s="60">
        <v>336480</v>
      </c>
      <c r="E517" s="60">
        <f t="shared" si="8"/>
        <v>336480</v>
      </c>
    </row>
    <row r="518" spans="1:5" x14ac:dyDescent="0.25">
      <c r="A518" s="60">
        <v>91</v>
      </c>
      <c r="B518" s="60" t="s">
        <v>120</v>
      </c>
      <c r="C518" s="60">
        <v>70</v>
      </c>
      <c r="D518" s="60">
        <v>0</v>
      </c>
      <c r="E518" s="60">
        <f t="shared" si="8"/>
        <v>0</v>
      </c>
    </row>
    <row r="519" spans="1:5" x14ac:dyDescent="0.25">
      <c r="A519" s="60">
        <v>91</v>
      </c>
      <c r="B519" s="60" t="s">
        <v>120</v>
      </c>
      <c r="C519" s="60">
        <v>110</v>
      </c>
      <c r="D519" s="60">
        <v>2968400</v>
      </c>
      <c r="E519" s="60">
        <f t="shared" si="8"/>
        <v>-2968400</v>
      </c>
    </row>
    <row r="520" spans="1:5" x14ac:dyDescent="0.25">
      <c r="A520" s="60">
        <v>91</v>
      </c>
      <c r="B520" s="60" t="s">
        <v>120</v>
      </c>
      <c r="C520" s="60">
        <v>120</v>
      </c>
      <c r="D520" s="60">
        <v>35480</v>
      </c>
      <c r="E520" s="60">
        <f t="shared" si="8"/>
        <v>-35480</v>
      </c>
    </row>
    <row r="521" spans="1:5" x14ac:dyDescent="0.25">
      <c r="A521" s="60">
        <v>91</v>
      </c>
      <c r="B521" s="60" t="s">
        <v>120</v>
      </c>
      <c r="C521" s="60">
        <v>130</v>
      </c>
      <c r="D521" s="60">
        <v>0</v>
      </c>
      <c r="E521" s="60">
        <f t="shared" si="8"/>
        <v>0</v>
      </c>
    </row>
    <row r="522" spans="1:5" x14ac:dyDescent="0.25">
      <c r="A522" s="60">
        <v>91</v>
      </c>
      <c r="B522" s="60" t="s">
        <v>120</v>
      </c>
      <c r="C522" s="60">
        <v>140</v>
      </c>
      <c r="D522" s="60">
        <v>0</v>
      </c>
      <c r="E522" s="60">
        <f t="shared" si="8"/>
        <v>0</v>
      </c>
    </row>
    <row r="523" spans="1:5" x14ac:dyDescent="0.25">
      <c r="A523" s="60">
        <v>91</v>
      </c>
      <c r="B523" s="60" t="s">
        <v>120</v>
      </c>
      <c r="C523" s="60">
        <v>141</v>
      </c>
      <c r="D523" s="60">
        <v>5742340</v>
      </c>
      <c r="E523" s="60">
        <f t="shared" si="8"/>
        <v>-5742340</v>
      </c>
    </row>
    <row r="524" spans="1:5" x14ac:dyDescent="0.25">
      <c r="A524" s="60">
        <v>91</v>
      </c>
      <c r="B524" s="60" t="s">
        <v>120</v>
      </c>
      <c r="C524" s="60">
        <v>200</v>
      </c>
      <c r="D524" s="60">
        <v>0</v>
      </c>
      <c r="E524" s="60">
        <f t="shared" si="8"/>
        <v>0</v>
      </c>
    </row>
    <row r="525" spans="1:5" x14ac:dyDescent="0.25">
      <c r="A525" s="60">
        <v>91</v>
      </c>
      <c r="B525" s="60" t="s">
        <v>120</v>
      </c>
      <c r="C525" s="60">
        <v>210</v>
      </c>
      <c r="D525" s="60">
        <v>9720</v>
      </c>
      <c r="E525" s="60">
        <f t="shared" si="8"/>
        <v>-9720</v>
      </c>
    </row>
    <row r="526" spans="1:5" x14ac:dyDescent="0.25">
      <c r="A526" s="60">
        <v>91</v>
      </c>
      <c r="B526" s="60" t="s">
        <v>120</v>
      </c>
      <c r="C526" s="60">
        <v>220</v>
      </c>
      <c r="D526" s="60">
        <v>44403</v>
      </c>
      <c r="E526" s="60">
        <f t="shared" si="8"/>
        <v>-44403</v>
      </c>
    </row>
    <row r="527" spans="1:5" x14ac:dyDescent="0.25">
      <c r="A527" s="60">
        <v>91</v>
      </c>
      <c r="B527" s="60" t="s">
        <v>120</v>
      </c>
      <c r="C527" s="60">
        <v>230</v>
      </c>
      <c r="D527" s="60">
        <v>0</v>
      </c>
      <c r="E527" s="60">
        <f t="shared" si="8"/>
        <v>0</v>
      </c>
    </row>
    <row r="528" spans="1:5" x14ac:dyDescent="0.25">
      <c r="A528" s="60">
        <v>91</v>
      </c>
      <c r="B528" s="60" t="s">
        <v>120</v>
      </c>
      <c r="C528" s="60">
        <v>298</v>
      </c>
      <c r="D528" s="60">
        <v>0</v>
      </c>
      <c r="E528" s="60">
        <f t="shared" si="8"/>
        <v>0</v>
      </c>
    </row>
    <row r="529" spans="1:5" x14ac:dyDescent="0.25">
      <c r="A529" s="60">
        <v>91</v>
      </c>
      <c r="B529" s="60" t="s">
        <v>121</v>
      </c>
      <c r="C529" s="60">
        <v>1</v>
      </c>
      <c r="D529" s="60">
        <v>0</v>
      </c>
      <c r="E529" s="60">
        <f t="shared" si="8"/>
        <v>0</v>
      </c>
    </row>
    <row r="530" spans="1:5" x14ac:dyDescent="0.25">
      <c r="A530" s="60">
        <v>91</v>
      </c>
      <c r="B530" s="60" t="s">
        <v>121</v>
      </c>
      <c r="C530" s="60">
        <v>10</v>
      </c>
      <c r="D530" s="60">
        <v>0</v>
      </c>
      <c r="E530" s="60">
        <f t="shared" si="8"/>
        <v>0</v>
      </c>
    </row>
    <row r="531" spans="1:5" x14ac:dyDescent="0.25">
      <c r="A531" s="60">
        <v>91</v>
      </c>
      <c r="B531" s="60" t="s">
        <v>121</v>
      </c>
      <c r="C531" s="60">
        <v>20</v>
      </c>
      <c r="D531" s="60">
        <v>0</v>
      </c>
      <c r="E531" s="60">
        <f t="shared" si="8"/>
        <v>0</v>
      </c>
    </row>
    <row r="532" spans="1:5" x14ac:dyDescent="0.25">
      <c r="A532" s="60">
        <v>91</v>
      </c>
      <c r="B532" s="60" t="s">
        <v>121</v>
      </c>
      <c r="C532" s="60">
        <v>50</v>
      </c>
      <c r="D532" s="60">
        <v>0</v>
      </c>
      <c r="E532" s="60">
        <f t="shared" si="8"/>
        <v>0</v>
      </c>
    </row>
    <row r="533" spans="1:5" x14ac:dyDescent="0.25">
      <c r="A533" s="60">
        <v>91</v>
      </c>
      <c r="B533" s="60" t="s">
        <v>121</v>
      </c>
      <c r="C533" s="60">
        <v>70</v>
      </c>
      <c r="D533" s="60">
        <v>0</v>
      </c>
      <c r="E533" s="60">
        <f t="shared" si="8"/>
        <v>0</v>
      </c>
    </row>
    <row r="534" spans="1:5" x14ac:dyDescent="0.25">
      <c r="A534" s="60">
        <v>91</v>
      </c>
      <c r="B534" s="60" t="s">
        <v>121</v>
      </c>
      <c r="C534" s="60">
        <v>110</v>
      </c>
      <c r="D534" s="60">
        <v>0</v>
      </c>
      <c r="E534" s="60">
        <f t="shared" si="8"/>
        <v>0</v>
      </c>
    </row>
    <row r="535" spans="1:5" x14ac:dyDescent="0.25">
      <c r="A535" s="60">
        <v>91</v>
      </c>
      <c r="B535" s="60" t="s">
        <v>121</v>
      </c>
      <c r="C535" s="60">
        <v>140</v>
      </c>
      <c r="D535" s="60">
        <v>0</v>
      </c>
      <c r="E535" s="60">
        <f t="shared" si="8"/>
        <v>0</v>
      </c>
    </row>
    <row r="536" spans="1:5" x14ac:dyDescent="0.25">
      <c r="A536" s="60">
        <v>91</v>
      </c>
      <c r="B536" s="60" t="s">
        <v>121</v>
      </c>
      <c r="C536" s="60">
        <v>200</v>
      </c>
      <c r="D536" s="60">
        <v>0</v>
      </c>
      <c r="E536" s="60">
        <f t="shared" si="8"/>
        <v>0</v>
      </c>
    </row>
    <row r="537" spans="1:5" x14ac:dyDescent="0.25">
      <c r="A537" s="60">
        <v>91</v>
      </c>
      <c r="B537" s="60" t="s">
        <v>121</v>
      </c>
      <c r="C537" s="60">
        <v>210</v>
      </c>
      <c r="D537" s="60">
        <v>0</v>
      </c>
      <c r="E537" s="60">
        <f t="shared" si="8"/>
        <v>0</v>
      </c>
    </row>
    <row r="538" spans="1:5" x14ac:dyDescent="0.25">
      <c r="A538" s="60">
        <v>91</v>
      </c>
      <c r="B538" s="60" t="s">
        <v>121</v>
      </c>
      <c r="C538" s="60">
        <v>230</v>
      </c>
      <c r="D538" s="60">
        <v>0</v>
      </c>
      <c r="E538" s="60">
        <f t="shared" si="8"/>
        <v>0</v>
      </c>
    </row>
    <row r="539" spans="1:5" x14ac:dyDescent="0.25">
      <c r="A539" s="60">
        <v>101</v>
      </c>
      <c r="B539" s="60" t="s">
        <v>117</v>
      </c>
      <c r="C539" s="60">
        <v>1</v>
      </c>
      <c r="D539" s="60">
        <v>3397934</v>
      </c>
      <c r="E539" s="60">
        <f t="shared" si="8"/>
        <v>3397934</v>
      </c>
    </row>
    <row r="540" spans="1:5" x14ac:dyDescent="0.25">
      <c r="A540" s="60">
        <v>101</v>
      </c>
      <c r="B540" s="60" t="s">
        <v>117</v>
      </c>
      <c r="C540" s="60">
        <v>10</v>
      </c>
      <c r="D540" s="60">
        <v>9058640</v>
      </c>
      <c r="E540" s="60">
        <f t="shared" si="8"/>
        <v>9058640</v>
      </c>
    </row>
    <row r="541" spans="1:5" x14ac:dyDescent="0.25">
      <c r="A541" s="60">
        <v>101</v>
      </c>
      <c r="B541" s="60" t="s">
        <v>117</v>
      </c>
      <c r="C541" s="60">
        <v>20</v>
      </c>
      <c r="D541" s="60">
        <v>0</v>
      </c>
      <c r="E541" s="60">
        <f t="shared" si="8"/>
        <v>0</v>
      </c>
    </row>
    <row r="542" spans="1:5" x14ac:dyDescent="0.25">
      <c r="A542" s="60">
        <v>101</v>
      </c>
      <c r="B542" s="60" t="s">
        <v>117</v>
      </c>
      <c r="C542" s="60">
        <v>50</v>
      </c>
      <c r="D542" s="60">
        <v>2517140</v>
      </c>
      <c r="E542" s="60">
        <f t="shared" si="8"/>
        <v>2517140</v>
      </c>
    </row>
    <row r="543" spans="1:5" x14ac:dyDescent="0.25">
      <c r="A543" s="60">
        <v>101</v>
      </c>
      <c r="B543" s="60" t="s">
        <v>117</v>
      </c>
      <c r="C543" s="60">
        <v>60</v>
      </c>
      <c r="D543" s="60">
        <v>0</v>
      </c>
      <c r="E543" s="60">
        <f t="shared" si="8"/>
        <v>0</v>
      </c>
    </row>
    <row r="544" spans="1:5" x14ac:dyDescent="0.25">
      <c r="A544" s="60">
        <v>101</v>
      </c>
      <c r="B544" s="60" t="s">
        <v>117</v>
      </c>
      <c r="C544" s="60">
        <v>70</v>
      </c>
      <c r="D544" s="60">
        <v>0</v>
      </c>
      <c r="E544" s="60">
        <f t="shared" si="8"/>
        <v>0</v>
      </c>
    </row>
    <row r="545" spans="1:5" x14ac:dyDescent="0.25">
      <c r="A545" s="60">
        <v>101</v>
      </c>
      <c r="B545" s="60" t="s">
        <v>117</v>
      </c>
      <c r="C545" s="60">
        <v>110</v>
      </c>
      <c r="D545" s="60">
        <v>5796280</v>
      </c>
      <c r="E545" s="60">
        <f t="shared" si="8"/>
        <v>-5796280</v>
      </c>
    </row>
    <row r="546" spans="1:5" x14ac:dyDescent="0.25">
      <c r="A546" s="60">
        <v>101</v>
      </c>
      <c r="B546" s="60" t="s">
        <v>117</v>
      </c>
      <c r="C546" s="60">
        <v>120</v>
      </c>
      <c r="D546" s="60">
        <v>0</v>
      </c>
      <c r="E546" s="60">
        <f t="shared" si="8"/>
        <v>0</v>
      </c>
    </row>
    <row r="547" spans="1:5" x14ac:dyDescent="0.25">
      <c r="A547" s="60">
        <v>101</v>
      </c>
      <c r="B547" s="60" t="s">
        <v>117</v>
      </c>
      <c r="C547" s="60">
        <v>130</v>
      </c>
      <c r="D547" s="60">
        <v>0</v>
      </c>
      <c r="E547" s="60">
        <f t="shared" si="8"/>
        <v>0</v>
      </c>
    </row>
    <row r="548" spans="1:5" x14ac:dyDescent="0.25">
      <c r="A548" s="60">
        <v>101</v>
      </c>
      <c r="B548" s="60" t="s">
        <v>117</v>
      </c>
      <c r="C548" s="60">
        <v>140</v>
      </c>
      <c r="D548" s="60">
        <v>51740</v>
      </c>
      <c r="E548" s="60">
        <f t="shared" si="8"/>
        <v>-51740</v>
      </c>
    </row>
    <row r="549" spans="1:5" x14ac:dyDescent="0.25">
      <c r="A549" s="60">
        <v>101</v>
      </c>
      <c r="B549" s="60" t="s">
        <v>117</v>
      </c>
      <c r="C549" s="60">
        <v>141</v>
      </c>
      <c r="D549" s="60">
        <v>2016790</v>
      </c>
      <c r="E549" s="60">
        <f t="shared" si="8"/>
        <v>-2016790</v>
      </c>
    </row>
    <row r="550" spans="1:5" x14ac:dyDescent="0.25">
      <c r="A550" s="60">
        <v>101</v>
      </c>
      <c r="B550" s="60" t="s">
        <v>117</v>
      </c>
      <c r="C550" s="60">
        <v>200</v>
      </c>
      <c r="D550" s="60">
        <v>45293</v>
      </c>
      <c r="E550" s="60">
        <f t="shared" si="8"/>
        <v>-45293</v>
      </c>
    </row>
    <row r="551" spans="1:5" x14ac:dyDescent="0.25">
      <c r="A551" s="60">
        <v>101</v>
      </c>
      <c r="B551" s="60" t="s">
        <v>117</v>
      </c>
      <c r="C551" s="60">
        <v>210</v>
      </c>
      <c r="D551" s="60">
        <v>35191</v>
      </c>
      <c r="E551" s="60">
        <f t="shared" si="8"/>
        <v>-35191</v>
      </c>
    </row>
    <row r="552" spans="1:5" x14ac:dyDescent="0.25">
      <c r="A552" s="60">
        <v>101</v>
      </c>
      <c r="B552" s="60" t="s">
        <v>117</v>
      </c>
      <c r="C552" s="60">
        <v>220</v>
      </c>
      <c r="D552" s="60">
        <v>0</v>
      </c>
      <c r="E552" s="60">
        <f t="shared" si="8"/>
        <v>0</v>
      </c>
    </row>
    <row r="553" spans="1:5" x14ac:dyDescent="0.25">
      <c r="A553" s="60">
        <v>101</v>
      </c>
      <c r="B553" s="60" t="s">
        <v>117</v>
      </c>
      <c r="C553" s="60">
        <v>230</v>
      </c>
      <c r="D553" s="60">
        <v>0</v>
      </c>
      <c r="E553" s="60">
        <f t="shared" si="8"/>
        <v>0</v>
      </c>
    </row>
    <row r="554" spans="1:5" x14ac:dyDescent="0.25">
      <c r="A554" s="60">
        <v>101</v>
      </c>
      <c r="B554" s="60" t="s">
        <v>117</v>
      </c>
      <c r="C554" s="60">
        <v>298</v>
      </c>
      <c r="D554" s="60">
        <v>0</v>
      </c>
      <c r="E554" s="60">
        <f t="shared" si="8"/>
        <v>0</v>
      </c>
    </row>
    <row r="555" spans="1:5" x14ac:dyDescent="0.25">
      <c r="A555" s="60">
        <v>101</v>
      </c>
      <c r="B555" s="60" t="s">
        <v>118</v>
      </c>
      <c r="C555" s="60">
        <v>1</v>
      </c>
      <c r="D555" s="60">
        <v>0</v>
      </c>
      <c r="E555" s="60">
        <f t="shared" si="8"/>
        <v>0</v>
      </c>
    </row>
    <row r="556" spans="1:5" x14ac:dyDescent="0.25">
      <c r="A556" s="60">
        <v>101</v>
      </c>
      <c r="B556" s="60" t="s">
        <v>118</v>
      </c>
      <c r="C556" s="60">
        <v>10</v>
      </c>
      <c r="D556" s="60">
        <v>0</v>
      </c>
      <c r="E556" s="60">
        <f t="shared" si="8"/>
        <v>0</v>
      </c>
    </row>
    <row r="557" spans="1:5" x14ac:dyDescent="0.25">
      <c r="A557" s="60">
        <v>101</v>
      </c>
      <c r="B557" s="60" t="s">
        <v>118</v>
      </c>
      <c r="C557" s="60">
        <v>20</v>
      </c>
      <c r="D557" s="60">
        <v>0</v>
      </c>
      <c r="E557" s="60">
        <f t="shared" si="8"/>
        <v>0</v>
      </c>
    </row>
    <row r="558" spans="1:5" x14ac:dyDescent="0.25">
      <c r="A558" s="60">
        <v>101</v>
      </c>
      <c r="B558" s="60" t="s">
        <v>118</v>
      </c>
      <c r="C558" s="60">
        <v>50</v>
      </c>
      <c r="D558" s="60">
        <v>0</v>
      </c>
      <c r="E558" s="60">
        <f t="shared" si="8"/>
        <v>0</v>
      </c>
    </row>
    <row r="559" spans="1:5" x14ac:dyDescent="0.25">
      <c r="A559" s="60">
        <v>101</v>
      </c>
      <c r="B559" s="60" t="s">
        <v>118</v>
      </c>
      <c r="C559" s="60">
        <v>70</v>
      </c>
      <c r="D559" s="60">
        <v>0</v>
      </c>
      <c r="E559" s="60">
        <f t="shared" si="8"/>
        <v>0</v>
      </c>
    </row>
    <row r="560" spans="1:5" x14ac:dyDescent="0.25">
      <c r="A560" s="60">
        <v>101</v>
      </c>
      <c r="B560" s="60" t="s">
        <v>118</v>
      </c>
      <c r="C560" s="60">
        <v>110</v>
      </c>
      <c r="D560" s="60">
        <v>0</v>
      </c>
      <c r="E560" s="60">
        <f t="shared" si="8"/>
        <v>0</v>
      </c>
    </row>
    <row r="561" spans="1:5" x14ac:dyDescent="0.25">
      <c r="A561" s="60">
        <v>101</v>
      </c>
      <c r="B561" s="60" t="s">
        <v>118</v>
      </c>
      <c r="C561" s="60">
        <v>120</v>
      </c>
      <c r="D561" s="60">
        <v>0</v>
      </c>
      <c r="E561" s="60">
        <f t="shared" si="8"/>
        <v>0</v>
      </c>
    </row>
    <row r="562" spans="1:5" x14ac:dyDescent="0.25">
      <c r="A562" s="60">
        <v>101</v>
      </c>
      <c r="B562" s="60" t="s">
        <v>118</v>
      </c>
      <c r="C562" s="60">
        <v>130</v>
      </c>
      <c r="D562" s="60">
        <v>0</v>
      </c>
      <c r="E562" s="60">
        <f t="shared" si="8"/>
        <v>0</v>
      </c>
    </row>
    <row r="563" spans="1:5" x14ac:dyDescent="0.25">
      <c r="A563" s="60">
        <v>101</v>
      </c>
      <c r="B563" s="60" t="s">
        <v>118</v>
      </c>
      <c r="C563" s="60">
        <v>140</v>
      </c>
      <c r="D563" s="60">
        <v>0</v>
      </c>
      <c r="E563" s="60">
        <f t="shared" si="8"/>
        <v>0</v>
      </c>
    </row>
    <row r="564" spans="1:5" x14ac:dyDescent="0.25">
      <c r="A564" s="60">
        <v>101</v>
      </c>
      <c r="B564" s="60" t="s">
        <v>118</v>
      </c>
      <c r="C564" s="60">
        <v>200</v>
      </c>
      <c r="D564" s="60">
        <v>0</v>
      </c>
      <c r="E564" s="60">
        <f t="shared" si="8"/>
        <v>0</v>
      </c>
    </row>
    <row r="565" spans="1:5" x14ac:dyDescent="0.25">
      <c r="A565" s="60">
        <v>101</v>
      </c>
      <c r="B565" s="60" t="s">
        <v>118</v>
      </c>
      <c r="C565" s="60">
        <v>210</v>
      </c>
      <c r="D565" s="60">
        <v>0</v>
      </c>
      <c r="E565" s="60">
        <f t="shared" si="8"/>
        <v>0</v>
      </c>
    </row>
    <row r="566" spans="1:5" x14ac:dyDescent="0.25">
      <c r="A566" s="60">
        <v>101</v>
      </c>
      <c r="B566" s="60" t="s">
        <v>118</v>
      </c>
      <c r="C566" s="60">
        <v>220</v>
      </c>
      <c r="D566" s="60">
        <v>0</v>
      </c>
      <c r="E566" s="60">
        <f t="shared" si="8"/>
        <v>0</v>
      </c>
    </row>
    <row r="567" spans="1:5" x14ac:dyDescent="0.25">
      <c r="A567" s="60">
        <v>101</v>
      </c>
      <c r="B567" s="60" t="s">
        <v>118</v>
      </c>
      <c r="C567" s="60">
        <v>230</v>
      </c>
      <c r="D567" s="60">
        <v>0</v>
      </c>
      <c r="E567" s="60">
        <f t="shared" si="8"/>
        <v>0</v>
      </c>
    </row>
    <row r="568" spans="1:5" x14ac:dyDescent="0.25">
      <c r="A568" s="60">
        <v>101</v>
      </c>
      <c r="B568" s="60" t="s">
        <v>118</v>
      </c>
      <c r="C568" s="60">
        <v>260</v>
      </c>
      <c r="D568" s="60">
        <v>0</v>
      </c>
      <c r="E568" s="60">
        <f t="shared" si="8"/>
        <v>0</v>
      </c>
    </row>
    <row r="569" spans="1:5" x14ac:dyDescent="0.25">
      <c r="A569" s="60">
        <v>101</v>
      </c>
      <c r="B569" s="60" t="s">
        <v>118</v>
      </c>
      <c r="C569" s="60">
        <v>298</v>
      </c>
      <c r="D569" s="60">
        <v>0</v>
      </c>
      <c r="E569" s="60">
        <f t="shared" si="8"/>
        <v>0</v>
      </c>
    </row>
    <row r="570" spans="1:5" x14ac:dyDescent="0.25">
      <c r="A570" s="60">
        <v>101</v>
      </c>
      <c r="B570" s="60" t="s">
        <v>119</v>
      </c>
      <c r="C570" s="60">
        <v>1</v>
      </c>
      <c r="D570" s="60">
        <v>0</v>
      </c>
      <c r="E570" s="60">
        <f t="shared" si="8"/>
        <v>0</v>
      </c>
    </row>
    <row r="571" spans="1:5" x14ac:dyDescent="0.25">
      <c r="A571" s="60">
        <v>101</v>
      </c>
      <c r="B571" s="60" t="s">
        <v>119</v>
      </c>
      <c r="C571" s="60">
        <v>10</v>
      </c>
      <c r="D571" s="60">
        <v>0</v>
      </c>
      <c r="E571" s="60">
        <f t="shared" si="8"/>
        <v>0</v>
      </c>
    </row>
    <row r="572" spans="1:5" x14ac:dyDescent="0.25">
      <c r="A572" s="60">
        <v>101</v>
      </c>
      <c r="B572" s="60" t="s">
        <v>119</v>
      </c>
      <c r="C572" s="60">
        <v>20</v>
      </c>
      <c r="D572" s="60">
        <v>0</v>
      </c>
      <c r="E572" s="60">
        <f t="shared" si="8"/>
        <v>0</v>
      </c>
    </row>
    <row r="573" spans="1:5" x14ac:dyDescent="0.25">
      <c r="A573" s="60">
        <v>101</v>
      </c>
      <c r="B573" s="60" t="s">
        <v>119</v>
      </c>
      <c r="C573" s="60">
        <v>50</v>
      </c>
      <c r="D573" s="60">
        <v>0</v>
      </c>
      <c r="E573" s="60">
        <f t="shared" si="8"/>
        <v>0</v>
      </c>
    </row>
    <row r="574" spans="1:5" x14ac:dyDescent="0.25">
      <c r="A574" s="60">
        <v>101</v>
      </c>
      <c r="B574" s="60" t="s">
        <v>119</v>
      </c>
      <c r="C574" s="60">
        <v>70</v>
      </c>
      <c r="D574" s="60">
        <v>0</v>
      </c>
      <c r="E574" s="60">
        <f t="shared" si="8"/>
        <v>0</v>
      </c>
    </row>
    <row r="575" spans="1:5" x14ac:dyDescent="0.25">
      <c r="A575" s="60">
        <v>101</v>
      </c>
      <c r="B575" s="60" t="s">
        <v>119</v>
      </c>
      <c r="C575" s="60">
        <v>110</v>
      </c>
      <c r="D575" s="60">
        <v>0</v>
      </c>
      <c r="E575" s="60">
        <f t="shared" si="8"/>
        <v>0</v>
      </c>
    </row>
    <row r="576" spans="1:5" x14ac:dyDescent="0.25">
      <c r="A576" s="60">
        <v>101</v>
      </c>
      <c r="B576" s="60" t="s">
        <v>119</v>
      </c>
      <c r="C576" s="60">
        <v>120</v>
      </c>
      <c r="D576" s="60">
        <v>0</v>
      </c>
      <c r="E576" s="60">
        <f t="shared" si="8"/>
        <v>0</v>
      </c>
    </row>
    <row r="577" spans="1:5" x14ac:dyDescent="0.25">
      <c r="A577" s="60">
        <v>101</v>
      </c>
      <c r="B577" s="60" t="s">
        <v>119</v>
      </c>
      <c r="C577" s="60">
        <v>140</v>
      </c>
      <c r="D577" s="60">
        <v>0</v>
      </c>
      <c r="E577" s="60">
        <f t="shared" si="8"/>
        <v>0</v>
      </c>
    </row>
    <row r="578" spans="1:5" x14ac:dyDescent="0.25">
      <c r="A578" s="60">
        <v>101</v>
      </c>
      <c r="B578" s="60" t="s">
        <v>119</v>
      </c>
      <c r="C578" s="60">
        <v>200</v>
      </c>
      <c r="D578" s="60">
        <v>0</v>
      </c>
      <c r="E578" s="60">
        <f t="shared" ref="E578:E641" si="9">IF(C578&lt;100,D578,D578*-1)</f>
        <v>0</v>
      </c>
    </row>
    <row r="579" spans="1:5" x14ac:dyDescent="0.25">
      <c r="A579" s="60">
        <v>101</v>
      </c>
      <c r="B579" s="60" t="s">
        <v>119</v>
      </c>
      <c r="C579" s="60">
        <v>210</v>
      </c>
      <c r="D579" s="60">
        <v>0</v>
      </c>
      <c r="E579" s="60">
        <f t="shared" si="9"/>
        <v>0</v>
      </c>
    </row>
    <row r="580" spans="1:5" x14ac:dyDescent="0.25">
      <c r="A580" s="60">
        <v>101</v>
      </c>
      <c r="B580" s="60" t="s">
        <v>119</v>
      </c>
      <c r="C580" s="60">
        <v>220</v>
      </c>
      <c r="D580" s="60">
        <v>0</v>
      </c>
      <c r="E580" s="60">
        <f t="shared" si="9"/>
        <v>0</v>
      </c>
    </row>
    <row r="581" spans="1:5" x14ac:dyDescent="0.25">
      <c r="A581" s="60">
        <v>101</v>
      </c>
      <c r="B581" s="60" t="s">
        <v>119</v>
      </c>
      <c r="C581" s="60">
        <v>230</v>
      </c>
      <c r="D581" s="60">
        <v>0</v>
      </c>
      <c r="E581" s="60">
        <f t="shared" si="9"/>
        <v>0</v>
      </c>
    </row>
    <row r="582" spans="1:5" x14ac:dyDescent="0.25">
      <c r="A582" s="60">
        <v>101</v>
      </c>
      <c r="B582" s="60" t="s">
        <v>119</v>
      </c>
      <c r="C582" s="60">
        <v>270</v>
      </c>
      <c r="D582" s="60">
        <v>0</v>
      </c>
      <c r="E582" s="60">
        <f t="shared" si="9"/>
        <v>0</v>
      </c>
    </row>
    <row r="583" spans="1:5" x14ac:dyDescent="0.25">
      <c r="A583" s="60">
        <v>101</v>
      </c>
      <c r="B583" s="60" t="s">
        <v>119</v>
      </c>
      <c r="C583" s="60">
        <v>298</v>
      </c>
      <c r="D583" s="60">
        <v>0</v>
      </c>
      <c r="E583" s="60">
        <f t="shared" si="9"/>
        <v>0</v>
      </c>
    </row>
    <row r="584" spans="1:5" x14ac:dyDescent="0.25">
      <c r="A584" s="60">
        <v>101</v>
      </c>
      <c r="B584" s="60" t="s">
        <v>120</v>
      </c>
      <c r="C584" s="60">
        <v>1</v>
      </c>
      <c r="D584" s="60">
        <v>0</v>
      </c>
      <c r="E584" s="60">
        <f t="shared" si="9"/>
        <v>0</v>
      </c>
    </row>
    <row r="585" spans="1:5" x14ac:dyDescent="0.25">
      <c r="A585" s="60">
        <v>101</v>
      </c>
      <c r="B585" s="60" t="s">
        <v>120</v>
      </c>
      <c r="C585" s="60">
        <v>10</v>
      </c>
      <c r="D585" s="60">
        <v>0</v>
      </c>
      <c r="E585" s="60">
        <f t="shared" si="9"/>
        <v>0</v>
      </c>
    </row>
    <row r="586" spans="1:5" x14ac:dyDescent="0.25">
      <c r="A586" s="60">
        <v>101</v>
      </c>
      <c r="B586" s="60" t="s">
        <v>120</v>
      </c>
      <c r="C586" s="60">
        <v>50</v>
      </c>
      <c r="D586" s="60">
        <v>0</v>
      </c>
      <c r="E586" s="60">
        <f t="shared" si="9"/>
        <v>0</v>
      </c>
    </row>
    <row r="587" spans="1:5" x14ac:dyDescent="0.25">
      <c r="A587" s="60">
        <v>101</v>
      </c>
      <c r="B587" s="60" t="s">
        <v>120</v>
      </c>
      <c r="C587" s="60">
        <v>110</v>
      </c>
      <c r="D587" s="60">
        <v>0</v>
      </c>
      <c r="E587" s="60">
        <f t="shared" si="9"/>
        <v>0</v>
      </c>
    </row>
    <row r="588" spans="1:5" x14ac:dyDescent="0.25">
      <c r="A588" s="60">
        <v>101</v>
      </c>
      <c r="B588" s="60" t="s">
        <v>120</v>
      </c>
      <c r="C588" s="60">
        <v>120</v>
      </c>
      <c r="D588" s="60">
        <v>0</v>
      </c>
      <c r="E588" s="60">
        <f t="shared" si="9"/>
        <v>0</v>
      </c>
    </row>
    <row r="589" spans="1:5" x14ac:dyDescent="0.25">
      <c r="A589" s="60">
        <v>101</v>
      </c>
      <c r="B589" s="60" t="s">
        <v>120</v>
      </c>
      <c r="C589" s="60">
        <v>130</v>
      </c>
      <c r="D589" s="60">
        <v>0</v>
      </c>
      <c r="E589" s="60">
        <f t="shared" si="9"/>
        <v>0</v>
      </c>
    </row>
    <row r="590" spans="1:5" x14ac:dyDescent="0.25">
      <c r="A590" s="60">
        <v>101</v>
      </c>
      <c r="B590" s="60" t="s">
        <v>120</v>
      </c>
      <c r="C590" s="60">
        <v>140</v>
      </c>
      <c r="D590" s="60">
        <v>0</v>
      </c>
      <c r="E590" s="60">
        <f t="shared" si="9"/>
        <v>0</v>
      </c>
    </row>
    <row r="591" spans="1:5" x14ac:dyDescent="0.25">
      <c r="A591" s="60">
        <v>101</v>
      </c>
      <c r="B591" s="60" t="s">
        <v>120</v>
      </c>
      <c r="C591" s="60">
        <v>200</v>
      </c>
      <c r="D591" s="60">
        <v>0</v>
      </c>
      <c r="E591" s="60">
        <f t="shared" si="9"/>
        <v>0</v>
      </c>
    </row>
    <row r="592" spans="1:5" x14ac:dyDescent="0.25">
      <c r="A592" s="60">
        <v>101</v>
      </c>
      <c r="B592" s="60" t="s">
        <v>120</v>
      </c>
      <c r="C592" s="60">
        <v>210</v>
      </c>
      <c r="D592" s="60">
        <v>0</v>
      </c>
      <c r="E592" s="60">
        <f t="shared" si="9"/>
        <v>0</v>
      </c>
    </row>
    <row r="593" spans="1:5" x14ac:dyDescent="0.25">
      <c r="A593" s="60">
        <v>101</v>
      </c>
      <c r="B593" s="60" t="s">
        <v>120</v>
      </c>
      <c r="C593" s="60">
        <v>220</v>
      </c>
      <c r="D593" s="60">
        <v>0</v>
      </c>
      <c r="E593" s="60">
        <f t="shared" si="9"/>
        <v>0</v>
      </c>
    </row>
    <row r="594" spans="1:5" x14ac:dyDescent="0.25">
      <c r="A594" s="60">
        <v>101</v>
      </c>
      <c r="B594" s="60" t="s">
        <v>120</v>
      </c>
      <c r="C594" s="60">
        <v>230</v>
      </c>
      <c r="D594" s="60">
        <v>0</v>
      </c>
      <c r="E594" s="60">
        <f t="shared" si="9"/>
        <v>0</v>
      </c>
    </row>
    <row r="595" spans="1:5" x14ac:dyDescent="0.25">
      <c r="A595" s="60">
        <v>101</v>
      </c>
      <c r="B595" s="60" t="s">
        <v>120</v>
      </c>
      <c r="C595" s="60">
        <v>298</v>
      </c>
      <c r="D595" s="60">
        <v>0</v>
      </c>
      <c r="E595" s="60">
        <f t="shared" si="9"/>
        <v>0</v>
      </c>
    </row>
    <row r="596" spans="1:5" x14ac:dyDescent="0.25">
      <c r="A596" s="60">
        <v>101</v>
      </c>
      <c r="B596" s="60" t="s">
        <v>121</v>
      </c>
      <c r="C596" s="60">
        <v>1</v>
      </c>
      <c r="D596" s="60">
        <v>6428</v>
      </c>
      <c r="E596" s="60">
        <f t="shared" si="9"/>
        <v>6428</v>
      </c>
    </row>
    <row r="597" spans="1:5" x14ac:dyDescent="0.25">
      <c r="A597" s="60">
        <v>101</v>
      </c>
      <c r="B597" s="60" t="s">
        <v>121</v>
      </c>
      <c r="C597" s="60">
        <v>10</v>
      </c>
      <c r="D597" s="60">
        <v>14980</v>
      </c>
      <c r="E597" s="60">
        <f t="shared" si="9"/>
        <v>14980</v>
      </c>
    </row>
    <row r="598" spans="1:5" x14ac:dyDescent="0.25">
      <c r="A598" s="60">
        <v>101</v>
      </c>
      <c r="B598" s="60" t="s">
        <v>121</v>
      </c>
      <c r="C598" s="60">
        <v>20</v>
      </c>
      <c r="D598" s="60">
        <v>1351</v>
      </c>
      <c r="E598" s="60">
        <f t="shared" si="9"/>
        <v>1351</v>
      </c>
    </row>
    <row r="599" spans="1:5" x14ac:dyDescent="0.25">
      <c r="A599" s="60">
        <v>101</v>
      </c>
      <c r="B599" s="60" t="s">
        <v>121</v>
      </c>
      <c r="C599" s="60">
        <v>50</v>
      </c>
      <c r="D599" s="60">
        <v>11120</v>
      </c>
      <c r="E599" s="60">
        <f t="shared" si="9"/>
        <v>11120</v>
      </c>
    </row>
    <row r="600" spans="1:5" x14ac:dyDescent="0.25">
      <c r="A600" s="60">
        <v>101</v>
      </c>
      <c r="B600" s="60" t="s">
        <v>121</v>
      </c>
      <c r="C600" s="60">
        <v>110</v>
      </c>
      <c r="D600" s="60">
        <v>33280</v>
      </c>
      <c r="E600" s="60">
        <f t="shared" si="9"/>
        <v>-33280</v>
      </c>
    </row>
    <row r="601" spans="1:5" x14ac:dyDescent="0.25">
      <c r="A601" s="60">
        <v>101</v>
      </c>
      <c r="B601" s="60" t="s">
        <v>121</v>
      </c>
      <c r="C601" s="60">
        <v>210</v>
      </c>
      <c r="D601" s="60">
        <v>599</v>
      </c>
      <c r="E601" s="60">
        <f t="shared" si="9"/>
        <v>-599</v>
      </c>
    </row>
    <row r="602" spans="1:5" x14ac:dyDescent="0.25">
      <c r="A602" s="60">
        <v>111</v>
      </c>
      <c r="B602" s="60" t="s">
        <v>117</v>
      </c>
      <c r="C602" s="60">
        <v>1</v>
      </c>
      <c r="D602" s="60">
        <v>178633</v>
      </c>
      <c r="E602" s="60">
        <f t="shared" si="9"/>
        <v>178633</v>
      </c>
    </row>
    <row r="603" spans="1:5" x14ac:dyDescent="0.25">
      <c r="A603" s="60">
        <v>111</v>
      </c>
      <c r="B603" s="60" t="s">
        <v>117</v>
      </c>
      <c r="C603" s="60">
        <v>10</v>
      </c>
      <c r="D603" s="60">
        <v>37752020</v>
      </c>
      <c r="E603" s="60">
        <f t="shared" si="9"/>
        <v>37752020</v>
      </c>
    </row>
    <row r="604" spans="1:5" x14ac:dyDescent="0.25">
      <c r="A604" s="60">
        <v>111</v>
      </c>
      <c r="B604" s="60" t="s">
        <v>117</v>
      </c>
      <c r="C604" s="60">
        <v>20</v>
      </c>
      <c r="D604" s="60">
        <v>575732</v>
      </c>
      <c r="E604" s="60">
        <f t="shared" si="9"/>
        <v>575732</v>
      </c>
    </row>
    <row r="605" spans="1:5" x14ac:dyDescent="0.25">
      <c r="A605" s="60">
        <v>111</v>
      </c>
      <c r="B605" s="60" t="s">
        <v>117</v>
      </c>
      <c r="C605" s="60">
        <v>60</v>
      </c>
      <c r="D605" s="60">
        <v>0</v>
      </c>
      <c r="E605" s="60">
        <f t="shared" si="9"/>
        <v>0</v>
      </c>
    </row>
    <row r="606" spans="1:5" x14ac:dyDescent="0.25">
      <c r="A606" s="60">
        <v>111</v>
      </c>
      <c r="B606" s="60" t="s">
        <v>117</v>
      </c>
      <c r="C606" s="60">
        <v>70</v>
      </c>
      <c r="D606" s="60">
        <v>0</v>
      </c>
      <c r="E606" s="60">
        <f t="shared" si="9"/>
        <v>0</v>
      </c>
    </row>
    <row r="607" spans="1:5" x14ac:dyDescent="0.25">
      <c r="A607" s="60">
        <v>111</v>
      </c>
      <c r="B607" s="60" t="s">
        <v>117</v>
      </c>
      <c r="C607" s="60">
        <v>110</v>
      </c>
      <c r="D607" s="60">
        <v>13245300</v>
      </c>
      <c r="E607" s="60">
        <f t="shared" si="9"/>
        <v>-13245300</v>
      </c>
    </row>
    <row r="608" spans="1:5" x14ac:dyDescent="0.25">
      <c r="A608" s="60">
        <v>111</v>
      </c>
      <c r="B608" s="60" t="s">
        <v>117</v>
      </c>
      <c r="C608" s="60">
        <v>120</v>
      </c>
      <c r="D608" s="60">
        <v>0</v>
      </c>
      <c r="E608" s="60">
        <f t="shared" si="9"/>
        <v>0</v>
      </c>
    </row>
    <row r="609" spans="1:5" x14ac:dyDescent="0.25">
      <c r="A609" s="60">
        <v>111</v>
      </c>
      <c r="B609" s="60" t="s">
        <v>117</v>
      </c>
      <c r="C609" s="60">
        <v>130</v>
      </c>
      <c r="D609" s="60">
        <v>0</v>
      </c>
      <c r="E609" s="60">
        <f t="shared" si="9"/>
        <v>0</v>
      </c>
    </row>
    <row r="610" spans="1:5" x14ac:dyDescent="0.25">
      <c r="A610" s="60">
        <v>111</v>
      </c>
      <c r="B610" s="60" t="s">
        <v>117</v>
      </c>
      <c r="C610" s="60">
        <v>140</v>
      </c>
      <c r="D610" s="60">
        <v>24018480</v>
      </c>
      <c r="E610" s="60">
        <f t="shared" si="9"/>
        <v>-24018480</v>
      </c>
    </row>
    <row r="611" spans="1:5" x14ac:dyDescent="0.25">
      <c r="A611" s="60">
        <v>111</v>
      </c>
      <c r="B611" s="60" t="s">
        <v>117</v>
      </c>
      <c r="C611" s="60">
        <v>200</v>
      </c>
      <c r="D611" s="60">
        <v>182102</v>
      </c>
      <c r="E611" s="60">
        <f t="shared" si="9"/>
        <v>-182102</v>
      </c>
    </row>
    <row r="612" spans="1:5" x14ac:dyDescent="0.25">
      <c r="A612" s="60">
        <v>111</v>
      </c>
      <c r="B612" s="60" t="s">
        <v>117</v>
      </c>
      <c r="C612" s="60">
        <v>210</v>
      </c>
      <c r="D612" s="60">
        <v>212475</v>
      </c>
      <c r="E612" s="60">
        <f t="shared" si="9"/>
        <v>-212475</v>
      </c>
    </row>
    <row r="613" spans="1:5" x14ac:dyDescent="0.25">
      <c r="A613" s="60">
        <v>111</v>
      </c>
      <c r="B613" s="60" t="s">
        <v>117</v>
      </c>
      <c r="C613" s="60">
        <v>220</v>
      </c>
      <c r="D613" s="60">
        <v>0</v>
      </c>
      <c r="E613" s="60">
        <f t="shared" si="9"/>
        <v>0</v>
      </c>
    </row>
    <row r="614" spans="1:5" x14ac:dyDescent="0.25">
      <c r="A614" s="60">
        <v>111</v>
      </c>
      <c r="B614" s="60" t="s">
        <v>117</v>
      </c>
      <c r="C614" s="60">
        <v>230</v>
      </c>
      <c r="D614" s="60">
        <v>0</v>
      </c>
      <c r="E614" s="60">
        <f t="shared" si="9"/>
        <v>0</v>
      </c>
    </row>
    <row r="615" spans="1:5" x14ac:dyDescent="0.25">
      <c r="A615" s="60">
        <v>111</v>
      </c>
      <c r="B615" s="60" t="s">
        <v>117</v>
      </c>
      <c r="C615" s="60">
        <v>298</v>
      </c>
      <c r="D615" s="60">
        <v>0</v>
      </c>
      <c r="E615" s="60">
        <f t="shared" si="9"/>
        <v>0</v>
      </c>
    </row>
    <row r="616" spans="1:5" x14ac:dyDescent="0.25">
      <c r="A616" s="60">
        <v>111</v>
      </c>
      <c r="B616" s="60" t="s">
        <v>118</v>
      </c>
      <c r="C616" s="60">
        <v>1</v>
      </c>
      <c r="D616" s="60">
        <v>0</v>
      </c>
      <c r="E616" s="60">
        <f t="shared" si="9"/>
        <v>0</v>
      </c>
    </row>
    <row r="617" spans="1:5" x14ac:dyDescent="0.25">
      <c r="A617" s="60">
        <v>111</v>
      </c>
      <c r="B617" s="60" t="s">
        <v>118</v>
      </c>
      <c r="C617" s="60">
        <v>10</v>
      </c>
      <c r="D617" s="60">
        <v>11341280</v>
      </c>
      <c r="E617" s="60">
        <f t="shared" si="9"/>
        <v>11341280</v>
      </c>
    </row>
    <row r="618" spans="1:5" x14ac:dyDescent="0.25">
      <c r="A618" s="60">
        <v>111</v>
      </c>
      <c r="B618" s="60" t="s">
        <v>118</v>
      </c>
      <c r="C618" s="60">
        <v>20</v>
      </c>
      <c r="D618" s="60">
        <v>0</v>
      </c>
      <c r="E618" s="60">
        <f t="shared" si="9"/>
        <v>0</v>
      </c>
    </row>
    <row r="619" spans="1:5" x14ac:dyDescent="0.25">
      <c r="A619" s="60">
        <v>111</v>
      </c>
      <c r="B619" s="60" t="s">
        <v>118</v>
      </c>
      <c r="C619" s="60">
        <v>50</v>
      </c>
      <c r="D619" s="60">
        <v>0</v>
      </c>
      <c r="E619" s="60">
        <f t="shared" si="9"/>
        <v>0</v>
      </c>
    </row>
    <row r="620" spans="1:5" x14ac:dyDescent="0.25">
      <c r="A620" s="60">
        <v>111</v>
      </c>
      <c r="B620" s="60" t="s">
        <v>118</v>
      </c>
      <c r="C620" s="60">
        <v>70</v>
      </c>
      <c r="D620" s="60">
        <v>0</v>
      </c>
      <c r="E620" s="60">
        <f t="shared" si="9"/>
        <v>0</v>
      </c>
    </row>
    <row r="621" spans="1:5" x14ac:dyDescent="0.25">
      <c r="A621" s="60">
        <v>111</v>
      </c>
      <c r="B621" s="60" t="s">
        <v>118</v>
      </c>
      <c r="C621" s="60">
        <v>110</v>
      </c>
      <c r="D621" s="60">
        <v>2639580</v>
      </c>
      <c r="E621" s="60">
        <f t="shared" si="9"/>
        <v>-2639580</v>
      </c>
    </row>
    <row r="622" spans="1:5" x14ac:dyDescent="0.25">
      <c r="A622" s="60">
        <v>111</v>
      </c>
      <c r="B622" s="60" t="s">
        <v>118</v>
      </c>
      <c r="C622" s="60">
        <v>120</v>
      </c>
      <c r="D622" s="60">
        <v>0</v>
      </c>
      <c r="E622" s="60">
        <f t="shared" si="9"/>
        <v>0</v>
      </c>
    </row>
    <row r="623" spans="1:5" x14ac:dyDescent="0.25">
      <c r="A623" s="60">
        <v>111</v>
      </c>
      <c r="B623" s="60" t="s">
        <v>118</v>
      </c>
      <c r="C623" s="60">
        <v>130</v>
      </c>
      <c r="D623" s="60">
        <v>0</v>
      </c>
      <c r="E623" s="60">
        <f t="shared" si="9"/>
        <v>0</v>
      </c>
    </row>
    <row r="624" spans="1:5" x14ac:dyDescent="0.25">
      <c r="A624" s="60">
        <v>111</v>
      </c>
      <c r="B624" s="60" t="s">
        <v>118</v>
      </c>
      <c r="C624" s="60">
        <v>140</v>
      </c>
      <c r="D624" s="60">
        <v>0</v>
      </c>
      <c r="E624" s="60">
        <f t="shared" si="9"/>
        <v>0</v>
      </c>
    </row>
    <row r="625" spans="1:5" x14ac:dyDescent="0.25">
      <c r="A625" s="60">
        <v>111</v>
      </c>
      <c r="B625" s="60" t="s">
        <v>118</v>
      </c>
      <c r="C625" s="60">
        <v>141</v>
      </c>
      <c r="D625" s="60">
        <v>4264000</v>
      </c>
      <c r="E625" s="60">
        <f t="shared" si="9"/>
        <v>-4264000</v>
      </c>
    </row>
    <row r="626" spans="1:5" x14ac:dyDescent="0.25">
      <c r="A626" s="60">
        <v>111</v>
      </c>
      <c r="B626" s="60" t="s">
        <v>118</v>
      </c>
      <c r="C626" s="60">
        <v>200</v>
      </c>
      <c r="D626" s="60">
        <v>56706</v>
      </c>
      <c r="E626" s="60">
        <f t="shared" si="9"/>
        <v>-56706</v>
      </c>
    </row>
    <row r="627" spans="1:5" x14ac:dyDescent="0.25">
      <c r="A627" s="60">
        <v>111</v>
      </c>
      <c r="B627" s="60" t="s">
        <v>118</v>
      </c>
      <c r="C627" s="60">
        <v>210</v>
      </c>
      <c r="D627" s="60">
        <v>0</v>
      </c>
      <c r="E627" s="60">
        <f t="shared" si="9"/>
        <v>0</v>
      </c>
    </row>
    <row r="628" spans="1:5" x14ac:dyDescent="0.25">
      <c r="A628" s="60">
        <v>111</v>
      </c>
      <c r="B628" s="60" t="s">
        <v>118</v>
      </c>
      <c r="C628" s="60">
        <v>220</v>
      </c>
      <c r="D628" s="60">
        <v>0</v>
      </c>
      <c r="E628" s="60">
        <f t="shared" si="9"/>
        <v>0</v>
      </c>
    </row>
    <row r="629" spans="1:5" x14ac:dyDescent="0.25">
      <c r="A629" s="60">
        <v>111</v>
      </c>
      <c r="B629" s="60" t="s">
        <v>118</v>
      </c>
      <c r="C629" s="60">
        <v>230</v>
      </c>
      <c r="D629" s="60">
        <v>262111</v>
      </c>
      <c r="E629" s="60">
        <f t="shared" si="9"/>
        <v>-262111</v>
      </c>
    </row>
    <row r="630" spans="1:5" x14ac:dyDescent="0.25">
      <c r="A630" s="60">
        <v>111</v>
      </c>
      <c r="B630" s="60" t="s">
        <v>118</v>
      </c>
      <c r="C630" s="60">
        <v>298</v>
      </c>
      <c r="D630" s="60">
        <v>0</v>
      </c>
      <c r="E630" s="60">
        <f t="shared" si="9"/>
        <v>0</v>
      </c>
    </row>
    <row r="631" spans="1:5" x14ac:dyDescent="0.25">
      <c r="A631" s="60">
        <v>111</v>
      </c>
      <c r="B631" s="60" t="s">
        <v>119</v>
      </c>
      <c r="C631" s="60">
        <v>1</v>
      </c>
      <c r="D631" s="60">
        <v>5630252</v>
      </c>
      <c r="E631" s="60">
        <f t="shared" si="9"/>
        <v>5630252</v>
      </c>
    </row>
    <row r="632" spans="1:5" x14ac:dyDescent="0.25">
      <c r="A632" s="60">
        <v>111</v>
      </c>
      <c r="B632" s="60" t="s">
        <v>119</v>
      </c>
      <c r="C632" s="60">
        <v>10</v>
      </c>
      <c r="D632" s="60">
        <v>8422220</v>
      </c>
      <c r="E632" s="60">
        <f t="shared" si="9"/>
        <v>8422220</v>
      </c>
    </row>
    <row r="633" spans="1:5" x14ac:dyDescent="0.25">
      <c r="A633" s="60">
        <v>111</v>
      </c>
      <c r="B633" s="60" t="s">
        <v>119</v>
      </c>
      <c r="C633" s="60">
        <v>20</v>
      </c>
      <c r="D633" s="60">
        <v>104368</v>
      </c>
      <c r="E633" s="60">
        <f t="shared" si="9"/>
        <v>104368</v>
      </c>
    </row>
    <row r="634" spans="1:5" x14ac:dyDescent="0.25">
      <c r="A634" s="60">
        <v>111</v>
      </c>
      <c r="B634" s="60" t="s">
        <v>119</v>
      </c>
      <c r="C634" s="60">
        <v>50</v>
      </c>
      <c r="D634" s="60">
        <v>0</v>
      </c>
      <c r="E634" s="60">
        <f t="shared" si="9"/>
        <v>0</v>
      </c>
    </row>
    <row r="635" spans="1:5" x14ac:dyDescent="0.25">
      <c r="A635" s="60">
        <v>111</v>
      </c>
      <c r="B635" s="60" t="s">
        <v>119</v>
      </c>
      <c r="C635" s="60">
        <v>70</v>
      </c>
      <c r="D635" s="60">
        <v>0</v>
      </c>
      <c r="E635" s="60">
        <f t="shared" si="9"/>
        <v>0</v>
      </c>
    </row>
    <row r="636" spans="1:5" x14ac:dyDescent="0.25">
      <c r="A636" s="60">
        <v>111</v>
      </c>
      <c r="B636" s="60" t="s">
        <v>119</v>
      </c>
      <c r="C636" s="60">
        <v>110</v>
      </c>
      <c r="D636" s="60">
        <v>8258020</v>
      </c>
      <c r="E636" s="60">
        <f t="shared" si="9"/>
        <v>-8258020</v>
      </c>
    </row>
    <row r="637" spans="1:5" x14ac:dyDescent="0.25">
      <c r="A637" s="60">
        <v>111</v>
      </c>
      <c r="B637" s="60" t="s">
        <v>119</v>
      </c>
      <c r="C637" s="60">
        <v>140</v>
      </c>
      <c r="D637" s="60">
        <v>4313240</v>
      </c>
      <c r="E637" s="60">
        <f t="shared" si="9"/>
        <v>-4313240</v>
      </c>
    </row>
    <row r="638" spans="1:5" x14ac:dyDescent="0.25">
      <c r="A638" s="60">
        <v>111</v>
      </c>
      <c r="B638" s="60" t="s">
        <v>119</v>
      </c>
      <c r="C638" s="60">
        <v>200</v>
      </c>
      <c r="D638" s="60">
        <v>42111</v>
      </c>
      <c r="E638" s="60">
        <f t="shared" si="9"/>
        <v>-42111</v>
      </c>
    </row>
    <row r="639" spans="1:5" x14ac:dyDescent="0.25">
      <c r="A639" s="60">
        <v>111</v>
      </c>
      <c r="B639" s="60" t="s">
        <v>119</v>
      </c>
      <c r="C639" s="60">
        <v>210</v>
      </c>
      <c r="D639" s="60">
        <v>34893</v>
      </c>
      <c r="E639" s="60">
        <f t="shared" si="9"/>
        <v>-34893</v>
      </c>
    </row>
    <row r="640" spans="1:5" x14ac:dyDescent="0.25">
      <c r="A640" s="60">
        <v>111</v>
      </c>
      <c r="B640" s="60" t="s">
        <v>119</v>
      </c>
      <c r="C640" s="60">
        <v>220</v>
      </c>
      <c r="D640" s="60">
        <v>0</v>
      </c>
      <c r="E640" s="60">
        <f t="shared" si="9"/>
        <v>0</v>
      </c>
    </row>
    <row r="641" spans="1:5" x14ac:dyDescent="0.25">
      <c r="A641" s="60">
        <v>111</v>
      </c>
      <c r="B641" s="60" t="s">
        <v>119</v>
      </c>
      <c r="C641" s="60">
        <v>230</v>
      </c>
      <c r="D641" s="60">
        <v>42271</v>
      </c>
      <c r="E641" s="60">
        <f t="shared" si="9"/>
        <v>-42271</v>
      </c>
    </row>
    <row r="642" spans="1:5" x14ac:dyDescent="0.25">
      <c r="A642" s="60">
        <v>111</v>
      </c>
      <c r="B642" s="60" t="s">
        <v>119</v>
      </c>
      <c r="C642" s="60">
        <v>270</v>
      </c>
      <c r="D642" s="60">
        <v>0</v>
      </c>
      <c r="E642" s="60">
        <f t="shared" ref="E642:E705" si="10">IF(C642&lt;100,D642,D642*-1)</f>
        <v>0</v>
      </c>
    </row>
    <row r="643" spans="1:5" x14ac:dyDescent="0.25">
      <c r="A643" s="60">
        <v>111</v>
      </c>
      <c r="B643" s="60" t="s">
        <v>119</v>
      </c>
      <c r="C643" s="60">
        <v>298</v>
      </c>
      <c r="D643" s="60">
        <v>0</v>
      </c>
      <c r="E643" s="60">
        <f t="shared" si="10"/>
        <v>0</v>
      </c>
    </row>
    <row r="644" spans="1:5" x14ac:dyDescent="0.25">
      <c r="A644" s="60">
        <v>111</v>
      </c>
      <c r="B644" s="60" t="s">
        <v>120</v>
      </c>
      <c r="C644" s="60">
        <v>1</v>
      </c>
      <c r="D644" s="60">
        <v>4284375</v>
      </c>
      <c r="E644" s="60">
        <f t="shared" si="10"/>
        <v>4284375</v>
      </c>
    </row>
    <row r="645" spans="1:5" x14ac:dyDescent="0.25">
      <c r="A645" s="60">
        <v>111</v>
      </c>
      <c r="B645" s="60" t="s">
        <v>120</v>
      </c>
      <c r="C645" s="60">
        <v>10</v>
      </c>
      <c r="D645" s="60">
        <v>17879420</v>
      </c>
      <c r="E645" s="60">
        <f t="shared" si="10"/>
        <v>17879420</v>
      </c>
    </row>
    <row r="646" spans="1:5" x14ac:dyDescent="0.25">
      <c r="A646" s="60">
        <v>111</v>
      </c>
      <c r="B646" s="60" t="s">
        <v>120</v>
      </c>
      <c r="C646" s="60">
        <v>20</v>
      </c>
      <c r="D646" s="60">
        <v>394385</v>
      </c>
      <c r="E646" s="60">
        <f t="shared" si="10"/>
        <v>394385</v>
      </c>
    </row>
    <row r="647" spans="1:5" x14ac:dyDescent="0.25">
      <c r="A647" s="60">
        <v>111</v>
      </c>
      <c r="B647" s="60" t="s">
        <v>120</v>
      </c>
      <c r="C647" s="60">
        <v>50</v>
      </c>
      <c r="D647" s="60">
        <v>0</v>
      </c>
      <c r="E647" s="60">
        <f t="shared" si="10"/>
        <v>0</v>
      </c>
    </row>
    <row r="648" spans="1:5" x14ac:dyDescent="0.25">
      <c r="A648" s="60">
        <v>111</v>
      </c>
      <c r="B648" s="60" t="s">
        <v>120</v>
      </c>
      <c r="C648" s="60">
        <v>110</v>
      </c>
      <c r="D648" s="60">
        <v>9599040</v>
      </c>
      <c r="E648" s="60">
        <f t="shared" si="10"/>
        <v>-9599040</v>
      </c>
    </row>
    <row r="649" spans="1:5" x14ac:dyDescent="0.25">
      <c r="A649" s="60">
        <v>111</v>
      </c>
      <c r="B649" s="60" t="s">
        <v>120</v>
      </c>
      <c r="C649" s="60">
        <v>120</v>
      </c>
      <c r="D649" s="60">
        <v>39740</v>
      </c>
      <c r="E649" s="60">
        <f t="shared" si="10"/>
        <v>-39740</v>
      </c>
    </row>
    <row r="650" spans="1:5" x14ac:dyDescent="0.25">
      <c r="A650" s="60">
        <v>111</v>
      </c>
      <c r="B650" s="60" t="s">
        <v>120</v>
      </c>
      <c r="C650" s="60">
        <v>130</v>
      </c>
      <c r="D650" s="60">
        <v>0</v>
      </c>
      <c r="E650" s="60">
        <f t="shared" si="10"/>
        <v>0</v>
      </c>
    </row>
    <row r="651" spans="1:5" x14ac:dyDescent="0.25">
      <c r="A651" s="60">
        <v>111</v>
      </c>
      <c r="B651" s="60" t="s">
        <v>120</v>
      </c>
      <c r="C651" s="60">
        <v>140</v>
      </c>
      <c r="D651" s="60">
        <v>104540</v>
      </c>
      <c r="E651" s="60">
        <f t="shared" si="10"/>
        <v>-104540</v>
      </c>
    </row>
    <row r="652" spans="1:5" x14ac:dyDescent="0.25">
      <c r="A652" s="60">
        <v>111</v>
      </c>
      <c r="B652" s="60" t="s">
        <v>120</v>
      </c>
      <c r="C652" s="60">
        <v>200</v>
      </c>
      <c r="D652" s="60">
        <v>178794</v>
      </c>
      <c r="E652" s="60">
        <f t="shared" si="10"/>
        <v>-178794</v>
      </c>
    </row>
    <row r="653" spans="1:5" x14ac:dyDescent="0.25">
      <c r="A653" s="60">
        <v>111</v>
      </c>
      <c r="B653" s="60" t="s">
        <v>120</v>
      </c>
      <c r="C653" s="60">
        <v>210</v>
      </c>
      <c r="D653" s="60">
        <v>1999</v>
      </c>
      <c r="E653" s="60">
        <f t="shared" si="10"/>
        <v>-1999</v>
      </c>
    </row>
    <row r="654" spans="1:5" x14ac:dyDescent="0.25">
      <c r="A654" s="60">
        <v>111</v>
      </c>
      <c r="B654" s="60" t="s">
        <v>120</v>
      </c>
      <c r="C654" s="60">
        <v>220</v>
      </c>
      <c r="D654" s="60">
        <v>0</v>
      </c>
      <c r="E654" s="60">
        <f t="shared" si="10"/>
        <v>0</v>
      </c>
    </row>
    <row r="655" spans="1:5" x14ac:dyDescent="0.25">
      <c r="A655" s="60">
        <v>111</v>
      </c>
      <c r="B655" s="60" t="s">
        <v>120</v>
      </c>
      <c r="C655" s="60">
        <v>230</v>
      </c>
      <c r="D655" s="60">
        <v>136469</v>
      </c>
      <c r="E655" s="60">
        <f t="shared" si="10"/>
        <v>-136469</v>
      </c>
    </row>
    <row r="656" spans="1:5" x14ac:dyDescent="0.25">
      <c r="A656" s="60">
        <v>111</v>
      </c>
      <c r="B656" s="60" t="s">
        <v>120</v>
      </c>
      <c r="C656" s="60">
        <v>298</v>
      </c>
      <c r="D656" s="60">
        <v>0</v>
      </c>
      <c r="E656" s="60">
        <f t="shared" si="10"/>
        <v>0</v>
      </c>
    </row>
    <row r="657" spans="1:5" x14ac:dyDescent="0.25">
      <c r="A657" s="60">
        <v>111</v>
      </c>
      <c r="B657" s="60" t="s">
        <v>121</v>
      </c>
      <c r="C657" s="60">
        <v>1</v>
      </c>
      <c r="D657" s="60">
        <v>0</v>
      </c>
      <c r="E657" s="60">
        <f t="shared" si="10"/>
        <v>0</v>
      </c>
    </row>
    <row r="658" spans="1:5" x14ac:dyDescent="0.25">
      <c r="A658" s="60">
        <v>111</v>
      </c>
      <c r="B658" s="60" t="s">
        <v>121</v>
      </c>
      <c r="C658" s="60">
        <v>10</v>
      </c>
      <c r="D658" s="60">
        <v>0</v>
      </c>
      <c r="E658" s="60">
        <f t="shared" si="10"/>
        <v>0</v>
      </c>
    </row>
    <row r="659" spans="1:5" x14ac:dyDescent="0.25">
      <c r="A659" s="60">
        <v>111</v>
      </c>
      <c r="B659" s="60" t="s">
        <v>121</v>
      </c>
      <c r="C659" s="60">
        <v>20</v>
      </c>
      <c r="D659" s="60">
        <v>0</v>
      </c>
      <c r="E659" s="60">
        <f t="shared" si="10"/>
        <v>0</v>
      </c>
    </row>
    <row r="660" spans="1:5" x14ac:dyDescent="0.25">
      <c r="A660" s="60">
        <v>111</v>
      </c>
      <c r="B660" s="60" t="s">
        <v>121</v>
      </c>
      <c r="C660" s="60">
        <v>70</v>
      </c>
      <c r="D660" s="60">
        <v>0</v>
      </c>
      <c r="E660" s="60">
        <f t="shared" si="10"/>
        <v>0</v>
      </c>
    </row>
    <row r="661" spans="1:5" x14ac:dyDescent="0.25">
      <c r="A661" s="60">
        <v>111</v>
      </c>
      <c r="B661" s="60" t="s">
        <v>121</v>
      </c>
      <c r="C661" s="60">
        <v>110</v>
      </c>
      <c r="D661" s="60">
        <v>0</v>
      </c>
      <c r="E661" s="60">
        <f t="shared" si="10"/>
        <v>0</v>
      </c>
    </row>
    <row r="662" spans="1:5" x14ac:dyDescent="0.25">
      <c r="A662" s="60">
        <v>111</v>
      </c>
      <c r="B662" s="60" t="s">
        <v>121</v>
      </c>
      <c r="C662" s="60">
        <v>140</v>
      </c>
      <c r="D662" s="60">
        <v>0</v>
      </c>
      <c r="E662" s="60">
        <f t="shared" si="10"/>
        <v>0</v>
      </c>
    </row>
    <row r="663" spans="1:5" x14ac:dyDescent="0.25">
      <c r="A663" s="60">
        <v>111</v>
      </c>
      <c r="B663" s="60" t="s">
        <v>121</v>
      </c>
      <c r="C663" s="60">
        <v>200</v>
      </c>
      <c r="D663" s="60">
        <v>0</v>
      </c>
      <c r="E663" s="60">
        <f t="shared" si="10"/>
        <v>0</v>
      </c>
    </row>
    <row r="664" spans="1:5" x14ac:dyDescent="0.25">
      <c r="A664" s="60">
        <v>111</v>
      </c>
      <c r="B664" s="60" t="s">
        <v>121</v>
      </c>
      <c r="C664" s="60">
        <v>210</v>
      </c>
      <c r="D664" s="60">
        <v>0</v>
      </c>
      <c r="E664" s="60">
        <f t="shared" si="10"/>
        <v>0</v>
      </c>
    </row>
    <row r="665" spans="1:5" x14ac:dyDescent="0.25">
      <c r="A665" s="60">
        <v>111</v>
      </c>
      <c r="B665" s="60" t="s">
        <v>121</v>
      </c>
      <c r="C665" s="60">
        <v>230</v>
      </c>
      <c r="D665" s="60">
        <v>0</v>
      </c>
      <c r="E665" s="60">
        <f t="shared" si="10"/>
        <v>0</v>
      </c>
    </row>
    <row r="666" spans="1:5" x14ac:dyDescent="0.25">
      <c r="A666" s="60">
        <v>121</v>
      </c>
      <c r="B666" s="60" t="s">
        <v>117</v>
      </c>
      <c r="C666" s="60">
        <v>1</v>
      </c>
      <c r="D666" s="60">
        <v>0</v>
      </c>
      <c r="E666" s="60">
        <f t="shared" si="10"/>
        <v>0</v>
      </c>
    </row>
    <row r="667" spans="1:5" x14ac:dyDescent="0.25">
      <c r="A667" s="60">
        <v>121</v>
      </c>
      <c r="B667" s="60" t="s">
        <v>117</v>
      </c>
      <c r="C667" s="60">
        <v>10</v>
      </c>
      <c r="D667" s="60">
        <v>0</v>
      </c>
      <c r="E667" s="60">
        <f t="shared" si="10"/>
        <v>0</v>
      </c>
    </row>
    <row r="668" spans="1:5" x14ac:dyDescent="0.25">
      <c r="A668" s="60">
        <v>121</v>
      </c>
      <c r="B668" s="60" t="s">
        <v>117</v>
      </c>
      <c r="C668" s="60">
        <v>15</v>
      </c>
      <c r="D668" s="60">
        <v>0</v>
      </c>
      <c r="E668" s="60">
        <f t="shared" si="10"/>
        <v>0</v>
      </c>
    </row>
    <row r="669" spans="1:5" x14ac:dyDescent="0.25">
      <c r="A669" s="60">
        <v>121</v>
      </c>
      <c r="B669" s="60" t="s">
        <v>117</v>
      </c>
      <c r="C669" s="60">
        <v>20</v>
      </c>
      <c r="D669" s="60">
        <v>0</v>
      </c>
      <c r="E669" s="60">
        <f t="shared" si="10"/>
        <v>0</v>
      </c>
    </row>
    <row r="670" spans="1:5" x14ac:dyDescent="0.25">
      <c r="A670" s="60">
        <v>121</v>
      </c>
      <c r="B670" s="60" t="s">
        <v>117</v>
      </c>
      <c r="C670" s="60">
        <v>50</v>
      </c>
      <c r="D670" s="60">
        <v>0</v>
      </c>
      <c r="E670" s="60">
        <f t="shared" si="10"/>
        <v>0</v>
      </c>
    </row>
    <row r="671" spans="1:5" x14ac:dyDescent="0.25">
      <c r="A671" s="60">
        <v>121</v>
      </c>
      <c r="B671" s="60" t="s">
        <v>117</v>
      </c>
      <c r="C671" s="60">
        <v>70</v>
      </c>
      <c r="D671" s="60">
        <v>0</v>
      </c>
      <c r="E671" s="60">
        <f t="shared" si="10"/>
        <v>0</v>
      </c>
    </row>
    <row r="672" spans="1:5" x14ac:dyDescent="0.25">
      <c r="A672" s="60">
        <v>121</v>
      </c>
      <c r="B672" s="60" t="s">
        <v>117</v>
      </c>
      <c r="C672" s="60">
        <v>110</v>
      </c>
      <c r="D672" s="60">
        <v>0</v>
      </c>
      <c r="E672" s="60">
        <f t="shared" si="10"/>
        <v>0</v>
      </c>
    </row>
    <row r="673" spans="1:5" x14ac:dyDescent="0.25">
      <c r="A673" s="60">
        <v>121</v>
      </c>
      <c r="B673" s="60" t="s">
        <v>117</v>
      </c>
      <c r="C673" s="60">
        <v>130</v>
      </c>
      <c r="D673" s="60">
        <v>0</v>
      </c>
      <c r="E673" s="60">
        <f t="shared" si="10"/>
        <v>0</v>
      </c>
    </row>
    <row r="674" spans="1:5" x14ac:dyDescent="0.25">
      <c r="A674" s="60">
        <v>121</v>
      </c>
      <c r="B674" s="60" t="s">
        <v>117</v>
      </c>
      <c r="C674" s="60">
        <v>140</v>
      </c>
      <c r="D674" s="60">
        <v>0</v>
      </c>
      <c r="E674" s="60">
        <f t="shared" si="10"/>
        <v>0</v>
      </c>
    </row>
    <row r="675" spans="1:5" x14ac:dyDescent="0.25">
      <c r="A675" s="60">
        <v>121</v>
      </c>
      <c r="B675" s="60" t="s">
        <v>117</v>
      </c>
      <c r="C675" s="60">
        <v>200</v>
      </c>
      <c r="D675" s="60">
        <v>0</v>
      </c>
      <c r="E675" s="60">
        <f t="shared" si="10"/>
        <v>0</v>
      </c>
    </row>
    <row r="676" spans="1:5" x14ac:dyDescent="0.25">
      <c r="A676" s="60">
        <v>121</v>
      </c>
      <c r="B676" s="60" t="s">
        <v>117</v>
      </c>
      <c r="C676" s="60">
        <v>210</v>
      </c>
      <c r="D676" s="60">
        <v>0</v>
      </c>
      <c r="E676" s="60">
        <f t="shared" si="10"/>
        <v>0</v>
      </c>
    </row>
    <row r="677" spans="1:5" x14ac:dyDescent="0.25">
      <c r="A677" s="60">
        <v>121</v>
      </c>
      <c r="B677" s="60" t="s">
        <v>117</v>
      </c>
      <c r="C677" s="60">
        <v>220</v>
      </c>
      <c r="D677" s="60">
        <v>0</v>
      </c>
      <c r="E677" s="60">
        <f t="shared" si="10"/>
        <v>0</v>
      </c>
    </row>
    <row r="678" spans="1:5" x14ac:dyDescent="0.25">
      <c r="A678" s="60">
        <v>121</v>
      </c>
      <c r="B678" s="60" t="s">
        <v>117</v>
      </c>
      <c r="C678" s="60">
        <v>230</v>
      </c>
      <c r="D678" s="60">
        <v>0</v>
      </c>
      <c r="E678" s="60">
        <f t="shared" si="10"/>
        <v>0</v>
      </c>
    </row>
    <row r="679" spans="1:5" x14ac:dyDescent="0.25">
      <c r="A679" s="60">
        <v>121</v>
      </c>
      <c r="B679" s="60" t="s">
        <v>117</v>
      </c>
      <c r="C679" s="60">
        <v>298</v>
      </c>
      <c r="D679" s="60">
        <v>0</v>
      </c>
      <c r="E679" s="60">
        <f t="shared" si="10"/>
        <v>0</v>
      </c>
    </row>
    <row r="680" spans="1:5" x14ac:dyDescent="0.25">
      <c r="A680" s="60">
        <v>121</v>
      </c>
      <c r="B680" s="60" t="s">
        <v>118</v>
      </c>
      <c r="C680" s="60">
        <v>1</v>
      </c>
      <c r="D680" s="60">
        <v>0</v>
      </c>
      <c r="E680" s="60">
        <f t="shared" si="10"/>
        <v>0</v>
      </c>
    </row>
    <row r="681" spans="1:5" x14ac:dyDescent="0.25">
      <c r="A681" s="60">
        <v>121</v>
      </c>
      <c r="B681" s="60" t="s">
        <v>118</v>
      </c>
      <c r="C681" s="60">
        <v>10</v>
      </c>
      <c r="D681" s="60">
        <v>0</v>
      </c>
      <c r="E681" s="60">
        <f t="shared" si="10"/>
        <v>0</v>
      </c>
    </row>
    <row r="682" spans="1:5" x14ac:dyDescent="0.25">
      <c r="A682" s="60">
        <v>121</v>
      </c>
      <c r="B682" s="60" t="s">
        <v>118</v>
      </c>
      <c r="C682" s="60">
        <v>20</v>
      </c>
      <c r="D682" s="60">
        <v>0</v>
      </c>
      <c r="E682" s="60">
        <f t="shared" si="10"/>
        <v>0</v>
      </c>
    </row>
    <row r="683" spans="1:5" x14ac:dyDescent="0.25">
      <c r="A683" s="60">
        <v>121</v>
      </c>
      <c r="B683" s="60" t="s">
        <v>118</v>
      </c>
      <c r="C683" s="60">
        <v>50</v>
      </c>
      <c r="D683" s="60">
        <v>0</v>
      </c>
      <c r="E683" s="60">
        <f t="shared" si="10"/>
        <v>0</v>
      </c>
    </row>
    <row r="684" spans="1:5" x14ac:dyDescent="0.25">
      <c r="A684" s="60">
        <v>121</v>
      </c>
      <c r="B684" s="60" t="s">
        <v>118</v>
      </c>
      <c r="C684" s="60">
        <v>70</v>
      </c>
      <c r="D684" s="60">
        <v>0</v>
      </c>
      <c r="E684" s="60">
        <f t="shared" si="10"/>
        <v>0</v>
      </c>
    </row>
    <row r="685" spans="1:5" x14ac:dyDescent="0.25">
      <c r="A685" s="60">
        <v>121</v>
      </c>
      <c r="B685" s="60" t="s">
        <v>118</v>
      </c>
      <c r="C685" s="60">
        <v>110</v>
      </c>
      <c r="D685" s="60">
        <v>0</v>
      </c>
      <c r="E685" s="60">
        <f t="shared" si="10"/>
        <v>0</v>
      </c>
    </row>
    <row r="686" spans="1:5" x14ac:dyDescent="0.25">
      <c r="A686" s="60">
        <v>121</v>
      </c>
      <c r="B686" s="60" t="s">
        <v>118</v>
      </c>
      <c r="C686" s="60">
        <v>120</v>
      </c>
      <c r="D686" s="60">
        <v>0</v>
      </c>
      <c r="E686" s="60">
        <f t="shared" si="10"/>
        <v>0</v>
      </c>
    </row>
    <row r="687" spans="1:5" x14ac:dyDescent="0.25">
      <c r="A687" s="60">
        <v>121</v>
      </c>
      <c r="B687" s="60" t="s">
        <v>118</v>
      </c>
      <c r="C687" s="60">
        <v>130</v>
      </c>
      <c r="D687" s="60">
        <v>0</v>
      </c>
      <c r="E687" s="60">
        <f t="shared" si="10"/>
        <v>0</v>
      </c>
    </row>
    <row r="688" spans="1:5" x14ac:dyDescent="0.25">
      <c r="A688" s="60">
        <v>121</v>
      </c>
      <c r="B688" s="60" t="s">
        <v>118</v>
      </c>
      <c r="C688" s="60">
        <v>140</v>
      </c>
      <c r="D688" s="60">
        <v>0</v>
      </c>
      <c r="E688" s="60">
        <f t="shared" si="10"/>
        <v>0</v>
      </c>
    </row>
    <row r="689" spans="1:5" x14ac:dyDescent="0.25">
      <c r="A689" s="60">
        <v>121</v>
      </c>
      <c r="B689" s="60" t="s">
        <v>118</v>
      </c>
      <c r="C689" s="60">
        <v>160</v>
      </c>
      <c r="D689" s="60">
        <v>0</v>
      </c>
      <c r="E689" s="60">
        <f t="shared" si="10"/>
        <v>0</v>
      </c>
    </row>
    <row r="690" spans="1:5" x14ac:dyDescent="0.25">
      <c r="A690" s="60">
        <v>121</v>
      </c>
      <c r="B690" s="60" t="s">
        <v>118</v>
      </c>
      <c r="C690" s="60">
        <v>200</v>
      </c>
      <c r="D690" s="60">
        <v>0</v>
      </c>
      <c r="E690" s="60">
        <f t="shared" si="10"/>
        <v>0</v>
      </c>
    </row>
    <row r="691" spans="1:5" x14ac:dyDescent="0.25">
      <c r="A691" s="60">
        <v>121</v>
      </c>
      <c r="B691" s="60" t="s">
        <v>118</v>
      </c>
      <c r="C691" s="60">
        <v>210</v>
      </c>
      <c r="D691" s="60">
        <v>0</v>
      </c>
      <c r="E691" s="60">
        <f t="shared" si="10"/>
        <v>0</v>
      </c>
    </row>
    <row r="692" spans="1:5" x14ac:dyDescent="0.25">
      <c r="A692" s="60">
        <v>121</v>
      </c>
      <c r="B692" s="60" t="s">
        <v>118</v>
      </c>
      <c r="C692" s="60">
        <v>220</v>
      </c>
      <c r="D692" s="60">
        <v>0</v>
      </c>
      <c r="E692" s="60">
        <f t="shared" si="10"/>
        <v>0</v>
      </c>
    </row>
    <row r="693" spans="1:5" x14ac:dyDescent="0.25">
      <c r="A693" s="60">
        <v>121</v>
      </c>
      <c r="B693" s="60" t="s">
        <v>118</v>
      </c>
      <c r="C693" s="60">
        <v>230</v>
      </c>
      <c r="D693" s="60">
        <v>0</v>
      </c>
      <c r="E693" s="60">
        <f t="shared" si="10"/>
        <v>0</v>
      </c>
    </row>
    <row r="694" spans="1:5" x14ac:dyDescent="0.25">
      <c r="A694" s="60">
        <v>121</v>
      </c>
      <c r="B694" s="60" t="s">
        <v>118</v>
      </c>
      <c r="C694" s="60">
        <v>260</v>
      </c>
      <c r="D694" s="60">
        <v>0</v>
      </c>
      <c r="E694" s="60">
        <f t="shared" si="10"/>
        <v>0</v>
      </c>
    </row>
    <row r="695" spans="1:5" x14ac:dyDescent="0.25">
      <c r="A695" s="60">
        <v>121</v>
      </c>
      <c r="B695" s="60" t="s">
        <v>118</v>
      </c>
      <c r="C695" s="60">
        <v>298</v>
      </c>
      <c r="D695" s="60">
        <v>0</v>
      </c>
      <c r="E695" s="60">
        <f t="shared" si="10"/>
        <v>0</v>
      </c>
    </row>
    <row r="696" spans="1:5" x14ac:dyDescent="0.25">
      <c r="A696" s="60">
        <v>121</v>
      </c>
      <c r="B696" s="60" t="s">
        <v>119</v>
      </c>
      <c r="C696" s="60">
        <v>1</v>
      </c>
      <c r="D696" s="60">
        <v>0</v>
      </c>
      <c r="E696" s="60">
        <f t="shared" si="10"/>
        <v>0</v>
      </c>
    </row>
    <row r="697" spans="1:5" x14ac:dyDescent="0.25">
      <c r="A697" s="60">
        <v>121</v>
      </c>
      <c r="B697" s="60" t="s">
        <v>119</v>
      </c>
      <c r="C697" s="60">
        <v>10</v>
      </c>
      <c r="D697" s="60">
        <v>0</v>
      </c>
      <c r="E697" s="60">
        <f t="shared" si="10"/>
        <v>0</v>
      </c>
    </row>
    <row r="698" spans="1:5" x14ac:dyDescent="0.25">
      <c r="A698" s="60">
        <v>121</v>
      </c>
      <c r="B698" s="60" t="s">
        <v>119</v>
      </c>
      <c r="C698" s="60">
        <v>20</v>
      </c>
      <c r="D698" s="60">
        <v>0</v>
      </c>
      <c r="E698" s="60">
        <f t="shared" si="10"/>
        <v>0</v>
      </c>
    </row>
    <row r="699" spans="1:5" x14ac:dyDescent="0.25">
      <c r="A699" s="60">
        <v>121</v>
      </c>
      <c r="B699" s="60" t="s">
        <v>119</v>
      </c>
      <c r="C699" s="60">
        <v>40</v>
      </c>
      <c r="D699" s="60">
        <v>0</v>
      </c>
      <c r="E699" s="60">
        <f t="shared" si="10"/>
        <v>0</v>
      </c>
    </row>
    <row r="700" spans="1:5" x14ac:dyDescent="0.25">
      <c r="A700" s="60">
        <v>121</v>
      </c>
      <c r="B700" s="60" t="s">
        <v>119</v>
      </c>
      <c r="C700" s="60">
        <v>50</v>
      </c>
      <c r="D700" s="60">
        <v>0</v>
      </c>
      <c r="E700" s="60">
        <f t="shared" si="10"/>
        <v>0</v>
      </c>
    </row>
    <row r="701" spans="1:5" x14ac:dyDescent="0.25">
      <c r="A701" s="60">
        <v>121</v>
      </c>
      <c r="B701" s="60" t="s">
        <v>119</v>
      </c>
      <c r="C701" s="60">
        <v>70</v>
      </c>
      <c r="D701" s="60">
        <v>0</v>
      </c>
      <c r="E701" s="60">
        <f t="shared" si="10"/>
        <v>0</v>
      </c>
    </row>
    <row r="702" spans="1:5" x14ac:dyDescent="0.25">
      <c r="A702" s="60">
        <v>121</v>
      </c>
      <c r="B702" s="60" t="s">
        <v>119</v>
      </c>
      <c r="C702" s="60">
        <v>110</v>
      </c>
      <c r="D702" s="60">
        <v>0</v>
      </c>
      <c r="E702" s="60">
        <f t="shared" si="10"/>
        <v>0</v>
      </c>
    </row>
    <row r="703" spans="1:5" x14ac:dyDescent="0.25">
      <c r="A703" s="60">
        <v>121</v>
      </c>
      <c r="B703" s="60" t="s">
        <v>119</v>
      </c>
      <c r="C703" s="60">
        <v>120</v>
      </c>
      <c r="D703" s="60">
        <v>0</v>
      </c>
      <c r="E703" s="60">
        <f t="shared" si="10"/>
        <v>0</v>
      </c>
    </row>
    <row r="704" spans="1:5" x14ac:dyDescent="0.25">
      <c r="A704" s="60">
        <v>121</v>
      </c>
      <c r="B704" s="60" t="s">
        <v>119</v>
      </c>
      <c r="C704" s="60">
        <v>130</v>
      </c>
      <c r="D704" s="60">
        <v>0</v>
      </c>
      <c r="E704" s="60">
        <f t="shared" si="10"/>
        <v>0</v>
      </c>
    </row>
    <row r="705" spans="1:5" x14ac:dyDescent="0.25">
      <c r="A705" s="60">
        <v>121</v>
      </c>
      <c r="B705" s="60" t="s">
        <v>119</v>
      </c>
      <c r="C705" s="60">
        <v>140</v>
      </c>
      <c r="D705" s="60">
        <v>0</v>
      </c>
      <c r="E705" s="60">
        <f t="shared" si="10"/>
        <v>0</v>
      </c>
    </row>
    <row r="706" spans="1:5" x14ac:dyDescent="0.25">
      <c r="A706" s="60">
        <v>121</v>
      </c>
      <c r="B706" s="60" t="s">
        <v>119</v>
      </c>
      <c r="C706" s="60">
        <v>200</v>
      </c>
      <c r="D706" s="60">
        <v>0</v>
      </c>
      <c r="E706" s="60">
        <f t="shared" ref="E706:E769" si="11">IF(C706&lt;100,D706,D706*-1)</f>
        <v>0</v>
      </c>
    </row>
    <row r="707" spans="1:5" x14ac:dyDescent="0.25">
      <c r="A707" s="60">
        <v>121</v>
      </c>
      <c r="B707" s="60" t="s">
        <v>119</v>
      </c>
      <c r="C707" s="60">
        <v>210</v>
      </c>
      <c r="D707" s="60">
        <v>0</v>
      </c>
      <c r="E707" s="60">
        <f t="shared" si="11"/>
        <v>0</v>
      </c>
    </row>
    <row r="708" spans="1:5" x14ac:dyDescent="0.25">
      <c r="A708" s="60">
        <v>121</v>
      </c>
      <c r="B708" s="60" t="s">
        <v>119</v>
      </c>
      <c r="C708" s="60">
        <v>220</v>
      </c>
      <c r="D708" s="60">
        <v>0</v>
      </c>
      <c r="E708" s="60">
        <f t="shared" si="11"/>
        <v>0</v>
      </c>
    </row>
    <row r="709" spans="1:5" x14ac:dyDescent="0.25">
      <c r="A709" s="60">
        <v>121</v>
      </c>
      <c r="B709" s="60" t="s">
        <v>119</v>
      </c>
      <c r="C709" s="60">
        <v>230</v>
      </c>
      <c r="D709" s="60">
        <v>0</v>
      </c>
      <c r="E709" s="60">
        <f t="shared" si="11"/>
        <v>0</v>
      </c>
    </row>
    <row r="710" spans="1:5" x14ac:dyDescent="0.25">
      <c r="A710" s="60">
        <v>121</v>
      </c>
      <c r="B710" s="60" t="s">
        <v>119</v>
      </c>
      <c r="C710" s="60">
        <v>298</v>
      </c>
      <c r="D710" s="60">
        <v>0</v>
      </c>
      <c r="E710" s="60">
        <f t="shared" si="11"/>
        <v>0</v>
      </c>
    </row>
    <row r="711" spans="1:5" x14ac:dyDescent="0.25">
      <c r="A711" s="60">
        <v>121</v>
      </c>
      <c r="B711" s="60" t="s">
        <v>120</v>
      </c>
      <c r="C711" s="60">
        <v>1</v>
      </c>
      <c r="D711" s="60">
        <v>0</v>
      </c>
      <c r="E711" s="60">
        <f t="shared" si="11"/>
        <v>0</v>
      </c>
    </row>
    <row r="712" spans="1:5" x14ac:dyDescent="0.25">
      <c r="A712" s="60">
        <v>121</v>
      </c>
      <c r="B712" s="60" t="s">
        <v>120</v>
      </c>
      <c r="C712" s="60">
        <v>10</v>
      </c>
      <c r="D712" s="60">
        <v>0</v>
      </c>
      <c r="E712" s="60">
        <f t="shared" si="11"/>
        <v>0</v>
      </c>
    </row>
    <row r="713" spans="1:5" x14ac:dyDescent="0.25">
      <c r="A713" s="60">
        <v>121</v>
      </c>
      <c r="B713" s="60" t="s">
        <v>120</v>
      </c>
      <c r="C713" s="60">
        <v>20</v>
      </c>
      <c r="D713" s="60">
        <v>0</v>
      </c>
      <c r="E713" s="60">
        <f t="shared" si="11"/>
        <v>0</v>
      </c>
    </row>
    <row r="714" spans="1:5" x14ac:dyDescent="0.25">
      <c r="A714" s="60">
        <v>121</v>
      </c>
      <c r="B714" s="60" t="s">
        <v>120</v>
      </c>
      <c r="C714" s="60">
        <v>50</v>
      </c>
      <c r="D714" s="60">
        <v>0</v>
      </c>
      <c r="E714" s="60">
        <f t="shared" si="11"/>
        <v>0</v>
      </c>
    </row>
    <row r="715" spans="1:5" x14ac:dyDescent="0.25">
      <c r="A715" s="60">
        <v>121</v>
      </c>
      <c r="B715" s="60" t="s">
        <v>120</v>
      </c>
      <c r="C715" s="60">
        <v>70</v>
      </c>
      <c r="D715" s="60">
        <v>0</v>
      </c>
      <c r="E715" s="60">
        <f t="shared" si="11"/>
        <v>0</v>
      </c>
    </row>
    <row r="716" spans="1:5" x14ac:dyDescent="0.25">
      <c r="A716" s="60">
        <v>121</v>
      </c>
      <c r="B716" s="60" t="s">
        <v>120</v>
      </c>
      <c r="C716" s="60">
        <v>110</v>
      </c>
      <c r="D716" s="60">
        <v>0</v>
      </c>
      <c r="E716" s="60">
        <f t="shared" si="11"/>
        <v>0</v>
      </c>
    </row>
    <row r="717" spans="1:5" x14ac:dyDescent="0.25">
      <c r="A717" s="60">
        <v>121</v>
      </c>
      <c r="B717" s="60" t="s">
        <v>120</v>
      </c>
      <c r="C717" s="60">
        <v>120</v>
      </c>
      <c r="D717" s="60">
        <v>0</v>
      </c>
      <c r="E717" s="60">
        <f t="shared" si="11"/>
        <v>0</v>
      </c>
    </row>
    <row r="718" spans="1:5" x14ac:dyDescent="0.25">
      <c r="A718" s="60">
        <v>121</v>
      </c>
      <c r="B718" s="60" t="s">
        <v>120</v>
      </c>
      <c r="C718" s="60">
        <v>130</v>
      </c>
      <c r="D718" s="60">
        <v>0</v>
      </c>
      <c r="E718" s="60">
        <f t="shared" si="11"/>
        <v>0</v>
      </c>
    </row>
    <row r="719" spans="1:5" x14ac:dyDescent="0.25">
      <c r="A719" s="60">
        <v>121</v>
      </c>
      <c r="B719" s="60" t="s">
        <v>120</v>
      </c>
      <c r="C719" s="60">
        <v>140</v>
      </c>
      <c r="D719" s="60">
        <v>0</v>
      </c>
      <c r="E719" s="60">
        <f t="shared" si="11"/>
        <v>0</v>
      </c>
    </row>
    <row r="720" spans="1:5" x14ac:dyDescent="0.25">
      <c r="A720" s="60">
        <v>121</v>
      </c>
      <c r="B720" s="60" t="s">
        <v>120</v>
      </c>
      <c r="C720" s="60">
        <v>200</v>
      </c>
      <c r="D720" s="60">
        <v>0</v>
      </c>
      <c r="E720" s="60">
        <f t="shared" si="11"/>
        <v>0</v>
      </c>
    </row>
    <row r="721" spans="1:5" x14ac:dyDescent="0.25">
      <c r="A721" s="60">
        <v>121</v>
      </c>
      <c r="B721" s="60" t="s">
        <v>120</v>
      </c>
      <c r="C721" s="60">
        <v>210</v>
      </c>
      <c r="D721" s="60">
        <v>0</v>
      </c>
      <c r="E721" s="60">
        <f t="shared" si="11"/>
        <v>0</v>
      </c>
    </row>
    <row r="722" spans="1:5" x14ac:dyDescent="0.25">
      <c r="A722" s="60">
        <v>121</v>
      </c>
      <c r="B722" s="60" t="s">
        <v>120</v>
      </c>
      <c r="C722" s="60">
        <v>220</v>
      </c>
      <c r="D722" s="60">
        <v>0</v>
      </c>
      <c r="E722" s="60">
        <f t="shared" si="11"/>
        <v>0</v>
      </c>
    </row>
    <row r="723" spans="1:5" x14ac:dyDescent="0.25">
      <c r="A723" s="60">
        <v>121</v>
      </c>
      <c r="B723" s="60" t="s">
        <v>120</v>
      </c>
      <c r="C723" s="60">
        <v>230</v>
      </c>
      <c r="D723" s="60">
        <v>0</v>
      </c>
      <c r="E723" s="60">
        <f t="shared" si="11"/>
        <v>0</v>
      </c>
    </row>
    <row r="724" spans="1:5" x14ac:dyDescent="0.25">
      <c r="A724" s="60">
        <v>121</v>
      </c>
      <c r="B724" s="60" t="s">
        <v>120</v>
      </c>
      <c r="C724" s="60">
        <v>260</v>
      </c>
      <c r="D724" s="60">
        <v>0</v>
      </c>
      <c r="E724" s="60">
        <f t="shared" si="11"/>
        <v>0</v>
      </c>
    </row>
    <row r="725" spans="1:5" x14ac:dyDescent="0.25">
      <c r="A725" s="60">
        <v>121</v>
      </c>
      <c r="B725" s="60" t="s">
        <v>120</v>
      </c>
      <c r="C725" s="60">
        <v>298</v>
      </c>
      <c r="D725" s="60">
        <v>0</v>
      </c>
      <c r="E725" s="60">
        <f t="shared" si="11"/>
        <v>0</v>
      </c>
    </row>
    <row r="726" spans="1:5" x14ac:dyDescent="0.25">
      <c r="A726" s="60">
        <v>131</v>
      </c>
      <c r="B726" s="60" t="s">
        <v>117</v>
      </c>
      <c r="C726" s="60">
        <v>1</v>
      </c>
      <c r="D726" s="60">
        <v>12854440</v>
      </c>
      <c r="E726" s="60">
        <f t="shared" si="11"/>
        <v>12854440</v>
      </c>
    </row>
    <row r="727" spans="1:5" x14ac:dyDescent="0.25">
      <c r="A727" s="60">
        <v>131</v>
      </c>
      <c r="B727" s="60" t="s">
        <v>117</v>
      </c>
      <c r="C727" s="60">
        <v>10</v>
      </c>
      <c r="D727" s="60">
        <v>538780</v>
      </c>
      <c r="E727" s="60">
        <f t="shared" si="11"/>
        <v>538780</v>
      </c>
    </row>
    <row r="728" spans="1:5" x14ac:dyDescent="0.25">
      <c r="A728" s="60">
        <v>131</v>
      </c>
      <c r="B728" s="60" t="s">
        <v>117</v>
      </c>
      <c r="C728" s="60">
        <v>20</v>
      </c>
      <c r="D728" s="60">
        <v>0</v>
      </c>
      <c r="E728" s="60">
        <f t="shared" si="11"/>
        <v>0</v>
      </c>
    </row>
    <row r="729" spans="1:5" x14ac:dyDescent="0.25">
      <c r="A729" s="60">
        <v>131</v>
      </c>
      <c r="B729" s="60" t="s">
        <v>117</v>
      </c>
      <c r="C729" s="60">
        <v>50</v>
      </c>
      <c r="D729" s="60">
        <v>3183700</v>
      </c>
      <c r="E729" s="60">
        <f t="shared" si="11"/>
        <v>3183700</v>
      </c>
    </row>
    <row r="730" spans="1:5" x14ac:dyDescent="0.25">
      <c r="A730" s="60">
        <v>131</v>
      </c>
      <c r="B730" s="60" t="s">
        <v>117</v>
      </c>
      <c r="C730" s="60">
        <v>60</v>
      </c>
      <c r="D730" s="60">
        <v>0</v>
      </c>
      <c r="E730" s="60">
        <f t="shared" si="11"/>
        <v>0</v>
      </c>
    </row>
    <row r="731" spans="1:5" x14ac:dyDescent="0.25">
      <c r="A731" s="60">
        <v>131</v>
      </c>
      <c r="B731" s="60" t="s">
        <v>117</v>
      </c>
      <c r="C731" s="60">
        <v>70</v>
      </c>
      <c r="D731" s="60">
        <v>0</v>
      </c>
      <c r="E731" s="60">
        <f t="shared" si="11"/>
        <v>0</v>
      </c>
    </row>
    <row r="732" spans="1:5" x14ac:dyDescent="0.25">
      <c r="A732" s="60">
        <v>131</v>
      </c>
      <c r="B732" s="60" t="s">
        <v>117</v>
      </c>
      <c r="C732" s="60">
        <v>110</v>
      </c>
      <c r="D732" s="60">
        <v>3592160</v>
      </c>
      <c r="E732" s="60">
        <f t="shared" si="11"/>
        <v>-3592160</v>
      </c>
    </row>
    <row r="733" spans="1:5" x14ac:dyDescent="0.25">
      <c r="A733" s="60">
        <v>131</v>
      </c>
      <c r="B733" s="60" t="s">
        <v>117</v>
      </c>
      <c r="C733" s="60">
        <v>130</v>
      </c>
      <c r="D733" s="60">
        <v>0</v>
      </c>
      <c r="E733" s="60">
        <f t="shared" si="11"/>
        <v>0</v>
      </c>
    </row>
    <row r="734" spans="1:5" x14ac:dyDescent="0.25">
      <c r="A734" s="60">
        <v>131</v>
      </c>
      <c r="B734" s="60" t="s">
        <v>117</v>
      </c>
      <c r="C734" s="60">
        <v>140</v>
      </c>
      <c r="D734" s="60">
        <v>367500</v>
      </c>
      <c r="E734" s="60">
        <f t="shared" si="11"/>
        <v>-367500</v>
      </c>
    </row>
    <row r="735" spans="1:5" x14ac:dyDescent="0.25">
      <c r="A735" s="60">
        <v>131</v>
      </c>
      <c r="B735" s="60" t="s">
        <v>117</v>
      </c>
      <c r="C735" s="60">
        <v>141</v>
      </c>
      <c r="D735" s="60">
        <v>167440</v>
      </c>
      <c r="E735" s="60">
        <f t="shared" si="11"/>
        <v>-167440</v>
      </c>
    </row>
    <row r="736" spans="1:5" x14ac:dyDescent="0.25">
      <c r="A736" s="60">
        <v>131</v>
      </c>
      <c r="B736" s="60" t="s">
        <v>117</v>
      </c>
      <c r="C736" s="60">
        <v>200</v>
      </c>
      <c r="D736" s="60">
        <v>2694</v>
      </c>
      <c r="E736" s="60">
        <f t="shared" si="11"/>
        <v>-2694</v>
      </c>
    </row>
    <row r="737" spans="1:5" x14ac:dyDescent="0.25">
      <c r="A737" s="60">
        <v>131</v>
      </c>
      <c r="B737" s="60" t="s">
        <v>117</v>
      </c>
      <c r="C737" s="60">
        <v>210</v>
      </c>
      <c r="D737" s="60">
        <v>5934</v>
      </c>
      <c r="E737" s="60">
        <f t="shared" si="11"/>
        <v>-5934</v>
      </c>
    </row>
    <row r="738" spans="1:5" x14ac:dyDescent="0.25">
      <c r="A738" s="60">
        <v>131</v>
      </c>
      <c r="B738" s="60" t="s">
        <v>117</v>
      </c>
      <c r="C738" s="60">
        <v>220</v>
      </c>
      <c r="D738" s="60">
        <v>0</v>
      </c>
      <c r="E738" s="60">
        <f t="shared" si="11"/>
        <v>0</v>
      </c>
    </row>
    <row r="739" spans="1:5" x14ac:dyDescent="0.25">
      <c r="A739" s="60">
        <v>131</v>
      </c>
      <c r="B739" s="60" t="s">
        <v>117</v>
      </c>
      <c r="C739" s="60">
        <v>230</v>
      </c>
      <c r="D739" s="60">
        <v>0</v>
      </c>
      <c r="E739" s="60">
        <f t="shared" si="11"/>
        <v>0</v>
      </c>
    </row>
    <row r="740" spans="1:5" x14ac:dyDescent="0.25">
      <c r="A740" s="60">
        <v>131</v>
      </c>
      <c r="B740" s="60" t="s">
        <v>117</v>
      </c>
      <c r="C740" s="60">
        <v>298</v>
      </c>
      <c r="D740" s="60">
        <v>0</v>
      </c>
      <c r="E740" s="60">
        <f t="shared" si="11"/>
        <v>0</v>
      </c>
    </row>
    <row r="741" spans="1:5" x14ac:dyDescent="0.25">
      <c r="A741" s="60">
        <v>131</v>
      </c>
      <c r="B741" s="60" t="s">
        <v>118</v>
      </c>
      <c r="C741" s="60">
        <v>50</v>
      </c>
      <c r="D741" s="60">
        <v>0</v>
      </c>
      <c r="E741" s="60">
        <f t="shared" si="11"/>
        <v>0</v>
      </c>
    </row>
    <row r="742" spans="1:5" x14ac:dyDescent="0.25">
      <c r="A742" s="60">
        <v>131</v>
      </c>
      <c r="B742" s="60" t="s">
        <v>118</v>
      </c>
      <c r="C742" s="60">
        <v>110</v>
      </c>
      <c r="D742" s="60">
        <v>0</v>
      </c>
      <c r="E742" s="60">
        <f t="shared" si="11"/>
        <v>0</v>
      </c>
    </row>
    <row r="743" spans="1:5" x14ac:dyDescent="0.25">
      <c r="A743" s="60">
        <v>131</v>
      </c>
      <c r="B743" s="60" t="s">
        <v>118</v>
      </c>
      <c r="C743" s="60">
        <v>220</v>
      </c>
      <c r="D743" s="60">
        <v>0</v>
      </c>
      <c r="E743" s="60">
        <f t="shared" si="11"/>
        <v>0</v>
      </c>
    </row>
    <row r="744" spans="1:5" x14ac:dyDescent="0.25">
      <c r="A744" s="60">
        <v>131</v>
      </c>
      <c r="B744" s="60" t="s">
        <v>118</v>
      </c>
      <c r="C744" s="60">
        <v>230</v>
      </c>
      <c r="D744" s="60">
        <v>0</v>
      </c>
      <c r="E744" s="60">
        <f t="shared" si="11"/>
        <v>0</v>
      </c>
    </row>
    <row r="745" spans="1:5" x14ac:dyDescent="0.25">
      <c r="A745" s="60">
        <v>131</v>
      </c>
      <c r="B745" s="60" t="s">
        <v>118</v>
      </c>
      <c r="C745" s="60">
        <v>298</v>
      </c>
      <c r="D745" s="60">
        <v>0</v>
      </c>
      <c r="E745" s="60">
        <f t="shared" si="11"/>
        <v>0</v>
      </c>
    </row>
    <row r="746" spans="1:5" x14ac:dyDescent="0.25">
      <c r="A746" s="60">
        <v>131</v>
      </c>
      <c r="B746" s="60" t="s">
        <v>119</v>
      </c>
      <c r="C746" s="60">
        <v>1</v>
      </c>
      <c r="D746" s="60">
        <v>0</v>
      </c>
      <c r="E746" s="60">
        <f t="shared" si="11"/>
        <v>0</v>
      </c>
    </row>
    <row r="747" spans="1:5" x14ac:dyDescent="0.25">
      <c r="A747" s="60">
        <v>131</v>
      </c>
      <c r="B747" s="60" t="s">
        <v>119</v>
      </c>
      <c r="C747" s="60">
        <v>10</v>
      </c>
      <c r="D747" s="60">
        <v>0</v>
      </c>
      <c r="E747" s="60">
        <f t="shared" si="11"/>
        <v>0</v>
      </c>
    </row>
    <row r="748" spans="1:5" x14ac:dyDescent="0.25">
      <c r="A748" s="60">
        <v>131</v>
      </c>
      <c r="B748" s="60" t="s">
        <v>119</v>
      </c>
      <c r="C748" s="60">
        <v>20</v>
      </c>
      <c r="D748" s="60">
        <v>0</v>
      </c>
      <c r="E748" s="60">
        <f t="shared" si="11"/>
        <v>0</v>
      </c>
    </row>
    <row r="749" spans="1:5" x14ac:dyDescent="0.25">
      <c r="A749" s="60">
        <v>131</v>
      </c>
      <c r="B749" s="60" t="s">
        <v>119</v>
      </c>
      <c r="C749" s="60">
        <v>50</v>
      </c>
      <c r="D749" s="60">
        <v>0</v>
      </c>
      <c r="E749" s="60">
        <f t="shared" si="11"/>
        <v>0</v>
      </c>
    </row>
    <row r="750" spans="1:5" x14ac:dyDescent="0.25">
      <c r="A750" s="60">
        <v>131</v>
      </c>
      <c r="B750" s="60" t="s">
        <v>119</v>
      </c>
      <c r="C750" s="60">
        <v>110</v>
      </c>
      <c r="D750" s="60">
        <v>0</v>
      </c>
      <c r="E750" s="60">
        <f t="shared" si="11"/>
        <v>0</v>
      </c>
    </row>
    <row r="751" spans="1:5" x14ac:dyDescent="0.25">
      <c r="A751" s="60">
        <v>131</v>
      </c>
      <c r="B751" s="60" t="s">
        <v>119</v>
      </c>
      <c r="C751" s="60">
        <v>140</v>
      </c>
      <c r="D751" s="60">
        <v>0</v>
      </c>
      <c r="E751" s="60">
        <f t="shared" si="11"/>
        <v>0</v>
      </c>
    </row>
    <row r="752" spans="1:5" x14ac:dyDescent="0.25">
      <c r="A752" s="60">
        <v>131</v>
      </c>
      <c r="B752" s="60" t="s">
        <v>119</v>
      </c>
      <c r="C752" s="60">
        <v>200</v>
      </c>
      <c r="D752" s="60">
        <v>0</v>
      </c>
      <c r="E752" s="60">
        <f t="shared" si="11"/>
        <v>0</v>
      </c>
    </row>
    <row r="753" spans="1:5" x14ac:dyDescent="0.25">
      <c r="A753" s="60">
        <v>131</v>
      </c>
      <c r="B753" s="60" t="s">
        <v>119</v>
      </c>
      <c r="C753" s="60">
        <v>220</v>
      </c>
      <c r="D753" s="60">
        <v>0</v>
      </c>
      <c r="E753" s="60">
        <f t="shared" si="11"/>
        <v>0</v>
      </c>
    </row>
    <row r="754" spans="1:5" x14ac:dyDescent="0.25">
      <c r="A754" s="60">
        <v>131</v>
      </c>
      <c r="B754" s="60" t="s">
        <v>120</v>
      </c>
      <c r="C754" s="60">
        <v>1</v>
      </c>
      <c r="D754" s="60">
        <v>0</v>
      </c>
      <c r="E754" s="60">
        <f t="shared" si="11"/>
        <v>0</v>
      </c>
    </row>
    <row r="755" spans="1:5" x14ac:dyDescent="0.25">
      <c r="A755" s="60">
        <v>131</v>
      </c>
      <c r="B755" s="60" t="s">
        <v>120</v>
      </c>
      <c r="C755" s="60">
        <v>10</v>
      </c>
      <c r="D755" s="60">
        <v>0</v>
      </c>
      <c r="E755" s="60">
        <f t="shared" si="11"/>
        <v>0</v>
      </c>
    </row>
    <row r="756" spans="1:5" x14ac:dyDescent="0.25">
      <c r="A756" s="60">
        <v>131</v>
      </c>
      <c r="B756" s="60" t="s">
        <v>120</v>
      </c>
      <c r="C756" s="60">
        <v>50</v>
      </c>
      <c r="D756" s="60">
        <v>0</v>
      </c>
      <c r="E756" s="60">
        <f t="shared" si="11"/>
        <v>0</v>
      </c>
    </row>
    <row r="757" spans="1:5" x14ac:dyDescent="0.25">
      <c r="A757" s="60">
        <v>131</v>
      </c>
      <c r="B757" s="60" t="s">
        <v>120</v>
      </c>
      <c r="C757" s="60">
        <v>70</v>
      </c>
      <c r="D757" s="60">
        <v>0</v>
      </c>
      <c r="E757" s="60">
        <f t="shared" si="11"/>
        <v>0</v>
      </c>
    </row>
    <row r="758" spans="1:5" x14ac:dyDescent="0.25">
      <c r="A758" s="60">
        <v>131</v>
      </c>
      <c r="B758" s="60" t="s">
        <v>120</v>
      </c>
      <c r="C758" s="60">
        <v>110</v>
      </c>
      <c r="D758" s="60">
        <v>0</v>
      </c>
      <c r="E758" s="60">
        <f t="shared" si="11"/>
        <v>0</v>
      </c>
    </row>
    <row r="759" spans="1:5" x14ac:dyDescent="0.25">
      <c r="A759" s="60">
        <v>131</v>
      </c>
      <c r="B759" s="60" t="s">
        <v>120</v>
      </c>
      <c r="C759" s="60">
        <v>130</v>
      </c>
      <c r="D759" s="60">
        <v>0</v>
      </c>
      <c r="E759" s="60">
        <f t="shared" si="11"/>
        <v>0</v>
      </c>
    </row>
    <row r="760" spans="1:5" x14ac:dyDescent="0.25">
      <c r="A760" s="60">
        <v>131</v>
      </c>
      <c r="B760" s="60" t="s">
        <v>120</v>
      </c>
      <c r="C760" s="60">
        <v>140</v>
      </c>
      <c r="D760" s="60">
        <v>0</v>
      </c>
      <c r="E760" s="60">
        <f t="shared" si="11"/>
        <v>0</v>
      </c>
    </row>
    <row r="761" spans="1:5" x14ac:dyDescent="0.25">
      <c r="A761" s="60">
        <v>131</v>
      </c>
      <c r="B761" s="60" t="s">
        <v>120</v>
      </c>
      <c r="C761" s="60">
        <v>200</v>
      </c>
      <c r="D761" s="60">
        <v>0</v>
      </c>
      <c r="E761" s="60">
        <f t="shared" si="11"/>
        <v>0</v>
      </c>
    </row>
    <row r="762" spans="1:5" x14ac:dyDescent="0.25">
      <c r="A762" s="60">
        <v>131</v>
      </c>
      <c r="B762" s="60" t="s">
        <v>120</v>
      </c>
      <c r="C762" s="60">
        <v>220</v>
      </c>
      <c r="D762" s="60">
        <v>0</v>
      </c>
      <c r="E762" s="60">
        <f t="shared" si="11"/>
        <v>0</v>
      </c>
    </row>
    <row r="763" spans="1:5" x14ac:dyDescent="0.25">
      <c r="A763" s="60">
        <v>131</v>
      </c>
      <c r="B763" s="60" t="s">
        <v>120</v>
      </c>
      <c r="C763" s="60">
        <v>230</v>
      </c>
      <c r="D763" s="60">
        <v>0</v>
      </c>
      <c r="E763" s="60">
        <f t="shared" si="11"/>
        <v>0</v>
      </c>
    </row>
    <row r="764" spans="1:5" x14ac:dyDescent="0.25">
      <c r="A764" s="60">
        <v>141</v>
      </c>
      <c r="B764" s="60" t="s">
        <v>117</v>
      </c>
      <c r="C764" s="60">
        <v>1</v>
      </c>
      <c r="D764" s="60">
        <v>6641448</v>
      </c>
      <c r="E764" s="60">
        <f t="shared" si="11"/>
        <v>6641448</v>
      </c>
    </row>
    <row r="765" spans="1:5" x14ac:dyDescent="0.25">
      <c r="A765" s="60">
        <v>141</v>
      </c>
      <c r="B765" s="60" t="s">
        <v>117</v>
      </c>
      <c r="C765" s="60">
        <v>10</v>
      </c>
      <c r="D765" s="60">
        <v>8980370</v>
      </c>
      <c r="E765" s="60">
        <f t="shared" si="11"/>
        <v>8980370</v>
      </c>
    </row>
    <row r="766" spans="1:5" x14ac:dyDescent="0.25">
      <c r="A766" s="60">
        <v>141</v>
      </c>
      <c r="B766" s="60" t="s">
        <v>117</v>
      </c>
      <c r="C766" s="60">
        <v>20</v>
      </c>
      <c r="D766" s="60">
        <v>0</v>
      </c>
      <c r="E766" s="60">
        <f t="shared" si="11"/>
        <v>0</v>
      </c>
    </row>
    <row r="767" spans="1:5" x14ac:dyDescent="0.25">
      <c r="A767" s="60">
        <v>141</v>
      </c>
      <c r="B767" s="60" t="s">
        <v>117</v>
      </c>
      <c r="C767" s="60">
        <v>50</v>
      </c>
      <c r="D767" s="60">
        <v>51740</v>
      </c>
      <c r="E767" s="60">
        <f t="shared" si="11"/>
        <v>51740</v>
      </c>
    </row>
    <row r="768" spans="1:5" x14ac:dyDescent="0.25">
      <c r="A768" s="60">
        <v>141</v>
      </c>
      <c r="B768" s="60" t="s">
        <v>117</v>
      </c>
      <c r="C768" s="60">
        <v>70</v>
      </c>
      <c r="D768" s="60">
        <v>0</v>
      </c>
      <c r="E768" s="60">
        <f t="shared" si="11"/>
        <v>0</v>
      </c>
    </row>
    <row r="769" spans="1:5" x14ac:dyDescent="0.25">
      <c r="A769" s="60">
        <v>141</v>
      </c>
      <c r="B769" s="60" t="s">
        <v>117</v>
      </c>
      <c r="C769" s="60">
        <v>100</v>
      </c>
      <c r="D769" s="60">
        <v>0</v>
      </c>
      <c r="E769" s="60">
        <f t="shared" si="11"/>
        <v>0</v>
      </c>
    </row>
    <row r="770" spans="1:5" x14ac:dyDescent="0.25">
      <c r="A770" s="60">
        <v>141</v>
      </c>
      <c r="B770" s="60" t="s">
        <v>117</v>
      </c>
      <c r="C770" s="60">
        <v>110</v>
      </c>
      <c r="D770" s="60">
        <v>8079780</v>
      </c>
      <c r="E770" s="60">
        <f t="shared" ref="E770:E833" si="12">IF(C770&lt;100,D770,D770*-1)</f>
        <v>-8079780</v>
      </c>
    </row>
    <row r="771" spans="1:5" x14ac:dyDescent="0.25">
      <c r="A771" s="60">
        <v>141</v>
      </c>
      <c r="B771" s="60" t="s">
        <v>117</v>
      </c>
      <c r="C771" s="60">
        <v>120</v>
      </c>
      <c r="D771" s="60">
        <v>0</v>
      </c>
      <c r="E771" s="60">
        <f t="shared" si="12"/>
        <v>0</v>
      </c>
    </row>
    <row r="772" spans="1:5" x14ac:dyDescent="0.25">
      <c r="A772" s="60">
        <v>141</v>
      </c>
      <c r="B772" s="60" t="s">
        <v>117</v>
      </c>
      <c r="C772" s="60">
        <v>130</v>
      </c>
      <c r="D772" s="60">
        <v>0</v>
      </c>
      <c r="E772" s="60">
        <f t="shared" si="12"/>
        <v>0</v>
      </c>
    </row>
    <row r="773" spans="1:5" x14ac:dyDescent="0.25">
      <c r="A773" s="60">
        <v>141</v>
      </c>
      <c r="B773" s="60" t="s">
        <v>117</v>
      </c>
      <c r="C773" s="60">
        <v>140</v>
      </c>
      <c r="D773" s="60">
        <v>0</v>
      </c>
      <c r="E773" s="60">
        <f t="shared" si="12"/>
        <v>0</v>
      </c>
    </row>
    <row r="774" spans="1:5" x14ac:dyDescent="0.25">
      <c r="A774" s="60">
        <v>141</v>
      </c>
      <c r="B774" s="60" t="s">
        <v>117</v>
      </c>
      <c r="C774" s="60">
        <v>200</v>
      </c>
      <c r="D774" s="60">
        <v>46031</v>
      </c>
      <c r="E774" s="60">
        <f t="shared" si="12"/>
        <v>-46031</v>
      </c>
    </row>
    <row r="775" spans="1:5" x14ac:dyDescent="0.25">
      <c r="A775" s="60">
        <v>141</v>
      </c>
      <c r="B775" s="60" t="s">
        <v>117</v>
      </c>
      <c r="C775" s="60">
        <v>210</v>
      </c>
      <c r="D775" s="60">
        <v>41992</v>
      </c>
      <c r="E775" s="60">
        <f t="shared" si="12"/>
        <v>-41992</v>
      </c>
    </row>
    <row r="776" spans="1:5" x14ac:dyDescent="0.25">
      <c r="A776" s="60">
        <v>141</v>
      </c>
      <c r="B776" s="60" t="s">
        <v>117</v>
      </c>
      <c r="C776" s="60">
        <v>220</v>
      </c>
      <c r="D776" s="60">
        <v>0</v>
      </c>
      <c r="E776" s="60">
        <f t="shared" si="12"/>
        <v>0</v>
      </c>
    </row>
    <row r="777" spans="1:5" x14ac:dyDescent="0.25">
      <c r="A777" s="60">
        <v>141</v>
      </c>
      <c r="B777" s="60" t="s">
        <v>117</v>
      </c>
      <c r="C777" s="60">
        <v>230</v>
      </c>
      <c r="D777" s="60">
        <v>0</v>
      </c>
      <c r="E777" s="60">
        <f t="shared" si="12"/>
        <v>0</v>
      </c>
    </row>
    <row r="778" spans="1:5" x14ac:dyDescent="0.25">
      <c r="A778" s="60">
        <v>141</v>
      </c>
      <c r="B778" s="60" t="s">
        <v>117</v>
      </c>
      <c r="C778" s="60">
        <v>298</v>
      </c>
      <c r="D778" s="60">
        <v>0</v>
      </c>
      <c r="E778" s="60">
        <f t="shared" si="12"/>
        <v>0</v>
      </c>
    </row>
    <row r="779" spans="1:5" x14ac:dyDescent="0.25">
      <c r="A779" s="60">
        <v>141</v>
      </c>
      <c r="B779" s="60" t="s">
        <v>120</v>
      </c>
      <c r="C779" s="60">
        <v>110</v>
      </c>
      <c r="D779" s="60">
        <v>0</v>
      </c>
      <c r="E779" s="60">
        <f t="shared" si="12"/>
        <v>0</v>
      </c>
    </row>
    <row r="780" spans="1:5" x14ac:dyDescent="0.25">
      <c r="A780" s="60">
        <v>141</v>
      </c>
      <c r="B780" s="60" t="s">
        <v>121</v>
      </c>
      <c r="C780" s="60">
        <v>1</v>
      </c>
      <c r="D780" s="60">
        <v>0</v>
      </c>
      <c r="E780" s="60">
        <f t="shared" si="12"/>
        <v>0</v>
      </c>
    </row>
    <row r="781" spans="1:5" x14ac:dyDescent="0.25">
      <c r="A781" s="60">
        <v>151</v>
      </c>
      <c r="B781" s="60" t="s">
        <v>117</v>
      </c>
      <c r="C781" s="60">
        <v>1</v>
      </c>
      <c r="D781" s="60">
        <v>5725277</v>
      </c>
      <c r="E781" s="60">
        <f t="shared" si="12"/>
        <v>5725277</v>
      </c>
    </row>
    <row r="782" spans="1:5" x14ac:dyDescent="0.25">
      <c r="A782" s="60">
        <v>151</v>
      </c>
      <c r="B782" s="60" t="s">
        <v>117</v>
      </c>
      <c r="C782" s="60">
        <v>10</v>
      </c>
      <c r="D782" s="60">
        <v>0</v>
      </c>
      <c r="E782" s="60">
        <f t="shared" si="12"/>
        <v>0</v>
      </c>
    </row>
    <row r="783" spans="1:5" x14ac:dyDescent="0.25">
      <c r="A783" s="60">
        <v>151</v>
      </c>
      <c r="B783" s="60" t="s">
        <v>117</v>
      </c>
      <c r="C783" s="60">
        <v>15</v>
      </c>
      <c r="D783" s="60">
        <v>0</v>
      </c>
      <c r="E783" s="60">
        <f t="shared" si="12"/>
        <v>0</v>
      </c>
    </row>
    <row r="784" spans="1:5" x14ac:dyDescent="0.25">
      <c r="A784" s="60">
        <v>151</v>
      </c>
      <c r="B784" s="60" t="s">
        <v>117</v>
      </c>
      <c r="C784" s="60">
        <v>20</v>
      </c>
      <c r="D784" s="60">
        <v>0</v>
      </c>
      <c r="E784" s="60">
        <f t="shared" si="12"/>
        <v>0</v>
      </c>
    </row>
    <row r="785" spans="1:5" x14ac:dyDescent="0.25">
      <c r="A785" s="60">
        <v>151</v>
      </c>
      <c r="B785" s="60" t="s">
        <v>117</v>
      </c>
      <c r="C785" s="60">
        <v>50</v>
      </c>
      <c r="D785" s="60">
        <v>0</v>
      </c>
      <c r="E785" s="60">
        <f t="shared" si="12"/>
        <v>0</v>
      </c>
    </row>
    <row r="786" spans="1:5" x14ac:dyDescent="0.25">
      <c r="A786" s="60">
        <v>151</v>
      </c>
      <c r="B786" s="60" t="s">
        <v>117</v>
      </c>
      <c r="C786" s="60">
        <v>70</v>
      </c>
      <c r="D786" s="60">
        <v>0</v>
      </c>
      <c r="E786" s="60">
        <f t="shared" si="12"/>
        <v>0</v>
      </c>
    </row>
    <row r="787" spans="1:5" x14ac:dyDescent="0.25">
      <c r="A787" s="60">
        <v>151</v>
      </c>
      <c r="B787" s="60" t="s">
        <v>117</v>
      </c>
      <c r="C787" s="60">
        <v>110</v>
      </c>
      <c r="D787" s="60">
        <v>0</v>
      </c>
      <c r="E787" s="60">
        <f t="shared" si="12"/>
        <v>0</v>
      </c>
    </row>
    <row r="788" spans="1:5" x14ac:dyDescent="0.25">
      <c r="A788" s="60">
        <v>151</v>
      </c>
      <c r="B788" s="60" t="s">
        <v>117</v>
      </c>
      <c r="C788" s="60">
        <v>120</v>
      </c>
      <c r="D788" s="60">
        <v>0</v>
      </c>
      <c r="E788" s="60">
        <f t="shared" si="12"/>
        <v>0</v>
      </c>
    </row>
    <row r="789" spans="1:5" x14ac:dyDescent="0.25">
      <c r="A789" s="60">
        <v>151</v>
      </c>
      <c r="B789" s="60" t="s">
        <v>117</v>
      </c>
      <c r="C789" s="60">
        <v>130</v>
      </c>
      <c r="D789" s="60">
        <v>0</v>
      </c>
      <c r="E789" s="60">
        <f t="shared" si="12"/>
        <v>0</v>
      </c>
    </row>
    <row r="790" spans="1:5" x14ac:dyDescent="0.25">
      <c r="A790" s="60">
        <v>151</v>
      </c>
      <c r="B790" s="60" t="s">
        <v>117</v>
      </c>
      <c r="C790" s="60">
        <v>140</v>
      </c>
      <c r="D790" s="60">
        <v>99480</v>
      </c>
      <c r="E790" s="60">
        <f t="shared" si="12"/>
        <v>-99480</v>
      </c>
    </row>
    <row r="791" spans="1:5" x14ac:dyDescent="0.25">
      <c r="A791" s="60">
        <v>151</v>
      </c>
      <c r="B791" s="60" t="s">
        <v>117</v>
      </c>
      <c r="C791" s="60">
        <v>141</v>
      </c>
      <c r="D791" s="60">
        <v>101340</v>
      </c>
      <c r="E791" s="60">
        <f t="shared" si="12"/>
        <v>-101340</v>
      </c>
    </row>
    <row r="792" spans="1:5" x14ac:dyDescent="0.25">
      <c r="A792" s="60">
        <v>151</v>
      </c>
      <c r="B792" s="60" t="s">
        <v>117</v>
      </c>
      <c r="C792" s="60">
        <v>200</v>
      </c>
      <c r="D792" s="60">
        <v>0</v>
      </c>
      <c r="E792" s="60">
        <f t="shared" si="12"/>
        <v>0</v>
      </c>
    </row>
    <row r="793" spans="1:5" x14ac:dyDescent="0.25">
      <c r="A793" s="60">
        <v>151</v>
      </c>
      <c r="B793" s="60" t="s">
        <v>117</v>
      </c>
      <c r="C793" s="60">
        <v>210</v>
      </c>
      <c r="D793" s="60">
        <v>0</v>
      </c>
      <c r="E793" s="60">
        <f t="shared" si="12"/>
        <v>0</v>
      </c>
    </row>
    <row r="794" spans="1:5" x14ac:dyDescent="0.25">
      <c r="A794" s="60">
        <v>151</v>
      </c>
      <c r="B794" s="60" t="s">
        <v>117</v>
      </c>
      <c r="C794" s="60">
        <v>230</v>
      </c>
      <c r="D794" s="60">
        <v>0</v>
      </c>
      <c r="E794" s="60">
        <f t="shared" si="12"/>
        <v>0</v>
      </c>
    </row>
    <row r="795" spans="1:5" x14ac:dyDescent="0.25">
      <c r="A795" s="60">
        <v>151</v>
      </c>
      <c r="B795" s="60" t="s">
        <v>117</v>
      </c>
      <c r="C795" s="60">
        <v>240</v>
      </c>
      <c r="D795" s="60">
        <v>0</v>
      </c>
      <c r="E795" s="60">
        <f t="shared" si="12"/>
        <v>0</v>
      </c>
    </row>
    <row r="796" spans="1:5" x14ac:dyDescent="0.25">
      <c r="A796" s="60">
        <v>151</v>
      </c>
      <c r="B796" s="60" t="s">
        <v>117</v>
      </c>
      <c r="C796" s="60">
        <v>298</v>
      </c>
      <c r="D796" s="60">
        <v>0</v>
      </c>
      <c r="E796" s="60">
        <f t="shared" si="12"/>
        <v>0</v>
      </c>
    </row>
    <row r="797" spans="1:5" x14ac:dyDescent="0.25">
      <c r="A797" s="60">
        <v>151</v>
      </c>
      <c r="B797" s="60" t="s">
        <v>118</v>
      </c>
      <c r="C797" s="60">
        <v>1</v>
      </c>
      <c r="D797" s="60">
        <v>0</v>
      </c>
      <c r="E797" s="60">
        <f t="shared" si="12"/>
        <v>0</v>
      </c>
    </row>
    <row r="798" spans="1:5" x14ac:dyDescent="0.25">
      <c r="A798" s="60">
        <v>151</v>
      </c>
      <c r="B798" s="60" t="s">
        <v>118</v>
      </c>
      <c r="C798" s="60">
        <v>10</v>
      </c>
      <c r="D798" s="60">
        <v>0</v>
      </c>
      <c r="E798" s="60">
        <f t="shared" si="12"/>
        <v>0</v>
      </c>
    </row>
    <row r="799" spans="1:5" x14ac:dyDescent="0.25">
      <c r="A799" s="60">
        <v>151</v>
      </c>
      <c r="B799" s="60" t="s">
        <v>118</v>
      </c>
      <c r="C799" s="60">
        <v>15</v>
      </c>
      <c r="D799" s="60">
        <v>0</v>
      </c>
      <c r="E799" s="60">
        <f t="shared" si="12"/>
        <v>0</v>
      </c>
    </row>
    <row r="800" spans="1:5" x14ac:dyDescent="0.25">
      <c r="A800" s="60">
        <v>151</v>
      </c>
      <c r="B800" s="60" t="s">
        <v>118</v>
      </c>
      <c r="C800" s="60">
        <v>20</v>
      </c>
      <c r="D800" s="60">
        <v>0</v>
      </c>
      <c r="E800" s="60">
        <f t="shared" si="12"/>
        <v>0</v>
      </c>
    </row>
    <row r="801" spans="1:5" x14ac:dyDescent="0.25">
      <c r="A801" s="60">
        <v>151</v>
      </c>
      <c r="B801" s="60" t="s">
        <v>118</v>
      </c>
      <c r="C801" s="60">
        <v>70</v>
      </c>
      <c r="D801" s="60">
        <v>0</v>
      </c>
      <c r="E801" s="60">
        <f t="shared" si="12"/>
        <v>0</v>
      </c>
    </row>
    <row r="802" spans="1:5" x14ac:dyDescent="0.25">
      <c r="A802" s="60">
        <v>151</v>
      </c>
      <c r="B802" s="60" t="s">
        <v>118</v>
      </c>
      <c r="C802" s="60">
        <v>110</v>
      </c>
      <c r="D802" s="60">
        <v>0</v>
      </c>
      <c r="E802" s="60">
        <f t="shared" si="12"/>
        <v>0</v>
      </c>
    </row>
    <row r="803" spans="1:5" x14ac:dyDescent="0.25">
      <c r="A803" s="60">
        <v>151</v>
      </c>
      <c r="B803" s="60" t="s">
        <v>118</v>
      </c>
      <c r="C803" s="60">
        <v>120</v>
      </c>
      <c r="D803" s="60">
        <v>0</v>
      </c>
      <c r="E803" s="60">
        <f t="shared" si="12"/>
        <v>0</v>
      </c>
    </row>
    <row r="804" spans="1:5" x14ac:dyDescent="0.25">
      <c r="A804" s="60">
        <v>151</v>
      </c>
      <c r="B804" s="60" t="s">
        <v>118</v>
      </c>
      <c r="C804" s="60">
        <v>130</v>
      </c>
      <c r="D804" s="60">
        <v>0</v>
      </c>
      <c r="E804" s="60">
        <f t="shared" si="12"/>
        <v>0</v>
      </c>
    </row>
    <row r="805" spans="1:5" x14ac:dyDescent="0.25">
      <c r="A805" s="60">
        <v>151</v>
      </c>
      <c r="B805" s="60" t="s">
        <v>118</v>
      </c>
      <c r="C805" s="60">
        <v>140</v>
      </c>
      <c r="D805" s="60">
        <v>0</v>
      </c>
      <c r="E805" s="60">
        <f t="shared" si="12"/>
        <v>0</v>
      </c>
    </row>
    <row r="806" spans="1:5" x14ac:dyDescent="0.25">
      <c r="A806" s="60">
        <v>151</v>
      </c>
      <c r="B806" s="60" t="s">
        <v>118</v>
      </c>
      <c r="C806" s="60">
        <v>200</v>
      </c>
      <c r="D806" s="60">
        <v>0</v>
      </c>
      <c r="E806" s="60">
        <f t="shared" si="12"/>
        <v>0</v>
      </c>
    </row>
    <row r="807" spans="1:5" x14ac:dyDescent="0.25">
      <c r="A807" s="60">
        <v>151</v>
      </c>
      <c r="B807" s="60" t="s">
        <v>118</v>
      </c>
      <c r="C807" s="60">
        <v>210</v>
      </c>
      <c r="D807" s="60">
        <v>0</v>
      </c>
      <c r="E807" s="60">
        <f t="shared" si="12"/>
        <v>0</v>
      </c>
    </row>
    <row r="808" spans="1:5" x14ac:dyDescent="0.25">
      <c r="A808" s="60">
        <v>151</v>
      </c>
      <c r="B808" s="60" t="s">
        <v>118</v>
      </c>
      <c r="C808" s="60">
        <v>220</v>
      </c>
      <c r="D808" s="60">
        <v>0</v>
      </c>
      <c r="E808" s="60">
        <f t="shared" si="12"/>
        <v>0</v>
      </c>
    </row>
    <row r="809" spans="1:5" x14ac:dyDescent="0.25">
      <c r="A809" s="60">
        <v>151</v>
      </c>
      <c r="B809" s="60" t="s">
        <v>118</v>
      </c>
      <c r="C809" s="60">
        <v>230</v>
      </c>
      <c r="D809" s="60">
        <v>0</v>
      </c>
      <c r="E809" s="60">
        <f t="shared" si="12"/>
        <v>0</v>
      </c>
    </row>
    <row r="810" spans="1:5" x14ac:dyDescent="0.25">
      <c r="A810" s="60">
        <v>151</v>
      </c>
      <c r="B810" s="60" t="s">
        <v>118</v>
      </c>
      <c r="C810" s="60">
        <v>298</v>
      </c>
      <c r="D810" s="60">
        <v>0</v>
      </c>
      <c r="E810" s="60">
        <f t="shared" si="12"/>
        <v>0</v>
      </c>
    </row>
    <row r="811" spans="1:5" x14ac:dyDescent="0.25">
      <c r="A811" s="60">
        <v>151</v>
      </c>
      <c r="B811" s="60" t="s">
        <v>119</v>
      </c>
      <c r="C811" s="60">
        <v>1</v>
      </c>
      <c r="D811" s="60">
        <v>0</v>
      </c>
      <c r="E811" s="60">
        <f t="shared" si="12"/>
        <v>0</v>
      </c>
    </row>
    <row r="812" spans="1:5" x14ac:dyDescent="0.25">
      <c r="A812" s="60">
        <v>151</v>
      </c>
      <c r="B812" s="60" t="s">
        <v>119</v>
      </c>
      <c r="C812" s="60">
        <v>10</v>
      </c>
      <c r="D812" s="60">
        <v>0</v>
      </c>
      <c r="E812" s="60">
        <f t="shared" si="12"/>
        <v>0</v>
      </c>
    </row>
    <row r="813" spans="1:5" x14ac:dyDescent="0.25">
      <c r="A813" s="60">
        <v>151</v>
      </c>
      <c r="B813" s="60" t="s">
        <v>119</v>
      </c>
      <c r="C813" s="60">
        <v>20</v>
      </c>
      <c r="D813" s="60">
        <v>0</v>
      </c>
      <c r="E813" s="60">
        <f t="shared" si="12"/>
        <v>0</v>
      </c>
    </row>
    <row r="814" spans="1:5" x14ac:dyDescent="0.25">
      <c r="A814" s="60">
        <v>151</v>
      </c>
      <c r="B814" s="60" t="s">
        <v>119</v>
      </c>
      <c r="C814" s="60">
        <v>50</v>
      </c>
      <c r="D814" s="60">
        <v>0</v>
      </c>
      <c r="E814" s="60">
        <f t="shared" si="12"/>
        <v>0</v>
      </c>
    </row>
    <row r="815" spans="1:5" x14ac:dyDescent="0.25">
      <c r="A815" s="60">
        <v>151</v>
      </c>
      <c r="B815" s="60" t="s">
        <v>119</v>
      </c>
      <c r="C815" s="60">
        <v>70</v>
      </c>
      <c r="D815" s="60">
        <v>0</v>
      </c>
      <c r="E815" s="60">
        <f t="shared" si="12"/>
        <v>0</v>
      </c>
    </row>
    <row r="816" spans="1:5" x14ac:dyDescent="0.25">
      <c r="A816" s="60">
        <v>151</v>
      </c>
      <c r="B816" s="60" t="s">
        <v>119</v>
      </c>
      <c r="C816" s="60">
        <v>110</v>
      </c>
      <c r="D816" s="60">
        <v>0</v>
      </c>
      <c r="E816" s="60">
        <f t="shared" si="12"/>
        <v>0</v>
      </c>
    </row>
    <row r="817" spans="1:5" x14ac:dyDescent="0.25">
      <c r="A817" s="60">
        <v>151</v>
      </c>
      <c r="B817" s="60" t="s">
        <v>119</v>
      </c>
      <c r="C817" s="60">
        <v>120</v>
      </c>
      <c r="D817" s="60">
        <v>0</v>
      </c>
      <c r="E817" s="60">
        <f t="shared" si="12"/>
        <v>0</v>
      </c>
    </row>
    <row r="818" spans="1:5" x14ac:dyDescent="0.25">
      <c r="A818" s="60">
        <v>151</v>
      </c>
      <c r="B818" s="60" t="s">
        <v>119</v>
      </c>
      <c r="C818" s="60">
        <v>130</v>
      </c>
      <c r="D818" s="60">
        <v>0</v>
      </c>
      <c r="E818" s="60">
        <f t="shared" si="12"/>
        <v>0</v>
      </c>
    </row>
    <row r="819" spans="1:5" x14ac:dyDescent="0.25">
      <c r="A819" s="60">
        <v>151</v>
      </c>
      <c r="B819" s="60" t="s">
        <v>119</v>
      </c>
      <c r="C819" s="60">
        <v>140</v>
      </c>
      <c r="D819" s="60">
        <v>0</v>
      </c>
      <c r="E819" s="60">
        <f t="shared" si="12"/>
        <v>0</v>
      </c>
    </row>
    <row r="820" spans="1:5" x14ac:dyDescent="0.25">
      <c r="A820" s="60">
        <v>151</v>
      </c>
      <c r="B820" s="60" t="s">
        <v>119</v>
      </c>
      <c r="C820" s="60">
        <v>200</v>
      </c>
      <c r="D820" s="60">
        <v>0</v>
      </c>
      <c r="E820" s="60">
        <f t="shared" si="12"/>
        <v>0</v>
      </c>
    </row>
    <row r="821" spans="1:5" x14ac:dyDescent="0.25">
      <c r="A821" s="60">
        <v>151</v>
      </c>
      <c r="B821" s="60" t="s">
        <v>119</v>
      </c>
      <c r="C821" s="60">
        <v>210</v>
      </c>
      <c r="D821" s="60">
        <v>0</v>
      </c>
      <c r="E821" s="60">
        <f t="shared" si="12"/>
        <v>0</v>
      </c>
    </row>
    <row r="822" spans="1:5" x14ac:dyDescent="0.25">
      <c r="A822" s="60">
        <v>151</v>
      </c>
      <c r="B822" s="60" t="s">
        <v>119</v>
      </c>
      <c r="C822" s="60">
        <v>220</v>
      </c>
      <c r="D822" s="60">
        <v>0</v>
      </c>
      <c r="E822" s="60">
        <f t="shared" si="12"/>
        <v>0</v>
      </c>
    </row>
    <row r="823" spans="1:5" x14ac:dyDescent="0.25">
      <c r="A823" s="60">
        <v>151</v>
      </c>
      <c r="B823" s="60" t="s">
        <v>119</v>
      </c>
      <c r="C823" s="60">
        <v>230</v>
      </c>
      <c r="D823" s="60">
        <v>0</v>
      </c>
      <c r="E823" s="60">
        <f t="shared" si="12"/>
        <v>0</v>
      </c>
    </row>
    <row r="824" spans="1:5" x14ac:dyDescent="0.25">
      <c r="A824" s="60">
        <v>151</v>
      </c>
      <c r="B824" s="60" t="s">
        <v>119</v>
      </c>
      <c r="C824" s="60">
        <v>270</v>
      </c>
      <c r="D824" s="60">
        <v>0</v>
      </c>
      <c r="E824" s="60">
        <f t="shared" si="12"/>
        <v>0</v>
      </c>
    </row>
    <row r="825" spans="1:5" x14ac:dyDescent="0.25">
      <c r="A825" s="60">
        <v>151</v>
      </c>
      <c r="B825" s="60" t="s">
        <v>119</v>
      </c>
      <c r="C825" s="60">
        <v>298</v>
      </c>
      <c r="D825" s="60">
        <v>0</v>
      </c>
      <c r="E825" s="60">
        <f t="shared" si="12"/>
        <v>0</v>
      </c>
    </row>
    <row r="826" spans="1:5" x14ac:dyDescent="0.25">
      <c r="A826" s="60">
        <v>151</v>
      </c>
      <c r="B826" s="60" t="s">
        <v>120</v>
      </c>
      <c r="C826" s="60">
        <v>1</v>
      </c>
      <c r="D826" s="60">
        <v>0</v>
      </c>
      <c r="E826" s="60">
        <f t="shared" si="12"/>
        <v>0</v>
      </c>
    </row>
    <row r="827" spans="1:5" x14ac:dyDescent="0.25">
      <c r="A827" s="60">
        <v>151</v>
      </c>
      <c r="B827" s="60" t="s">
        <v>120</v>
      </c>
      <c r="C827" s="60">
        <v>10</v>
      </c>
      <c r="D827" s="60">
        <v>0</v>
      </c>
      <c r="E827" s="60">
        <f t="shared" si="12"/>
        <v>0</v>
      </c>
    </row>
    <row r="828" spans="1:5" x14ac:dyDescent="0.25">
      <c r="A828" s="60">
        <v>151</v>
      </c>
      <c r="B828" s="60" t="s">
        <v>120</v>
      </c>
      <c r="C828" s="60">
        <v>20</v>
      </c>
      <c r="D828" s="60">
        <v>0</v>
      </c>
      <c r="E828" s="60">
        <f t="shared" si="12"/>
        <v>0</v>
      </c>
    </row>
    <row r="829" spans="1:5" x14ac:dyDescent="0.25">
      <c r="A829" s="60">
        <v>151</v>
      </c>
      <c r="B829" s="60" t="s">
        <v>120</v>
      </c>
      <c r="C829" s="60">
        <v>110</v>
      </c>
      <c r="D829" s="60">
        <v>0</v>
      </c>
      <c r="E829" s="60">
        <f t="shared" si="12"/>
        <v>0</v>
      </c>
    </row>
    <row r="830" spans="1:5" x14ac:dyDescent="0.25">
      <c r="A830" s="60">
        <v>151</v>
      </c>
      <c r="B830" s="60" t="s">
        <v>120</v>
      </c>
      <c r="C830" s="60">
        <v>120</v>
      </c>
      <c r="D830" s="60">
        <v>0</v>
      </c>
      <c r="E830" s="60">
        <f t="shared" si="12"/>
        <v>0</v>
      </c>
    </row>
    <row r="831" spans="1:5" x14ac:dyDescent="0.25">
      <c r="A831" s="60">
        <v>151</v>
      </c>
      <c r="B831" s="60" t="s">
        <v>120</v>
      </c>
      <c r="C831" s="60">
        <v>130</v>
      </c>
      <c r="D831" s="60">
        <v>0</v>
      </c>
      <c r="E831" s="60">
        <f t="shared" si="12"/>
        <v>0</v>
      </c>
    </row>
    <row r="832" spans="1:5" x14ac:dyDescent="0.25">
      <c r="A832" s="60">
        <v>151</v>
      </c>
      <c r="B832" s="60" t="s">
        <v>120</v>
      </c>
      <c r="C832" s="60">
        <v>140</v>
      </c>
      <c r="D832" s="60">
        <v>0</v>
      </c>
      <c r="E832" s="60">
        <f t="shared" si="12"/>
        <v>0</v>
      </c>
    </row>
    <row r="833" spans="1:5" x14ac:dyDescent="0.25">
      <c r="A833" s="60">
        <v>151</v>
      </c>
      <c r="B833" s="60" t="s">
        <v>120</v>
      </c>
      <c r="C833" s="60">
        <v>200</v>
      </c>
      <c r="D833" s="60">
        <v>0</v>
      </c>
      <c r="E833" s="60">
        <f t="shared" si="12"/>
        <v>0</v>
      </c>
    </row>
    <row r="834" spans="1:5" x14ac:dyDescent="0.25">
      <c r="A834" s="60">
        <v>151</v>
      </c>
      <c r="B834" s="60" t="s">
        <v>120</v>
      </c>
      <c r="C834" s="60">
        <v>210</v>
      </c>
      <c r="D834" s="60">
        <v>0</v>
      </c>
      <c r="E834" s="60">
        <f t="shared" ref="E834:E897" si="13">IF(C834&lt;100,D834,D834*-1)</f>
        <v>0</v>
      </c>
    </row>
    <row r="835" spans="1:5" x14ac:dyDescent="0.25">
      <c r="A835" s="60">
        <v>151</v>
      </c>
      <c r="B835" s="60" t="s">
        <v>120</v>
      </c>
      <c r="C835" s="60">
        <v>220</v>
      </c>
      <c r="D835" s="60">
        <v>0</v>
      </c>
      <c r="E835" s="60">
        <f t="shared" si="13"/>
        <v>0</v>
      </c>
    </row>
    <row r="836" spans="1:5" x14ac:dyDescent="0.25">
      <c r="A836" s="60">
        <v>151</v>
      </c>
      <c r="B836" s="60" t="s">
        <v>120</v>
      </c>
      <c r="C836" s="60">
        <v>230</v>
      </c>
      <c r="D836" s="60">
        <v>0</v>
      </c>
      <c r="E836" s="60">
        <f t="shared" si="13"/>
        <v>0</v>
      </c>
    </row>
    <row r="837" spans="1:5" x14ac:dyDescent="0.25">
      <c r="A837" s="60">
        <v>151</v>
      </c>
      <c r="B837" s="60" t="s">
        <v>120</v>
      </c>
      <c r="C837" s="60">
        <v>298</v>
      </c>
      <c r="D837" s="60">
        <v>0</v>
      </c>
      <c r="E837" s="60">
        <f t="shared" si="13"/>
        <v>0</v>
      </c>
    </row>
    <row r="838" spans="1:5" x14ac:dyDescent="0.25">
      <c r="A838" s="60">
        <v>151</v>
      </c>
      <c r="B838" s="60" t="s">
        <v>121</v>
      </c>
      <c r="C838" s="60">
        <v>10</v>
      </c>
      <c r="D838" s="60">
        <v>0</v>
      </c>
      <c r="E838" s="60">
        <f t="shared" si="13"/>
        <v>0</v>
      </c>
    </row>
    <row r="839" spans="1:5" x14ac:dyDescent="0.25">
      <c r="A839" s="60">
        <v>161</v>
      </c>
      <c r="B839" s="60" t="s">
        <v>117</v>
      </c>
      <c r="C839" s="60">
        <v>1</v>
      </c>
      <c r="D839" s="60">
        <v>21494105</v>
      </c>
      <c r="E839" s="60">
        <f t="shared" si="13"/>
        <v>21494105</v>
      </c>
    </row>
    <row r="840" spans="1:5" x14ac:dyDescent="0.25">
      <c r="A840" s="60">
        <v>161</v>
      </c>
      <c r="B840" s="60" t="s">
        <v>117</v>
      </c>
      <c r="C840" s="60">
        <v>10</v>
      </c>
      <c r="D840" s="60">
        <v>0</v>
      </c>
      <c r="E840" s="60">
        <f t="shared" si="13"/>
        <v>0</v>
      </c>
    </row>
    <row r="841" spans="1:5" x14ac:dyDescent="0.25">
      <c r="A841" s="60">
        <v>161</v>
      </c>
      <c r="B841" s="60" t="s">
        <v>117</v>
      </c>
      <c r="C841" s="60">
        <v>20</v>
      </c>
      <c r="D841" s="60">
        <v>0</v>
      </c>
      <c r="E841" s="60">
        <f t="shared" si="13"/>
        <v>0</v>
      </c>
    </row>
    <row r="842" spans="1:5" x14ac:dyDescent="0.25">
      <c r="A842" s="60">
        <v>161</v>
      </c>
      <c r="B842" s="60" t="s">
        <v>117</v>
      </c>
      <c r="C842" s="60">
        <v>40</v>
      </c>
      <c r="D842" s="60">
        <v>0</v>
      </c>
      <c r="E842" s="60">
        <f t="shared" si="13"/>
        <v>0</v>
      </c>
    </row>
    <row r="843" spans="1:5" x14ac:dyDescent="0.25">
      <c r="A843" s="60">
        <v>161</v>
      </c>
      <c r="B843" s="60" t="s">
        <v>117</v>
      </c>
      <c r="C843" s="60">
        <v>50</v>
      </c>
      <c r="D843" s="60">
        <v>1825740</v>
      </c>
      <c r="E843" s="60">
        <f t="shared" si="13"/>
        <v>1825740</v>
      </c>
    </row>
    <row r="844" spans="1:5" x14ac:dyDescent="0.25">
      <c r="A844" s="60">
        <v>161</v>
      </c>
      <c r="B844" s="60" t="s">
        <v>117</v>
      </c>
      <c r="C844" s="60">
        <v>60</v>
      </c>
      <c r="D844" s="60">
        <v>0</v>
      </c>
      <c r="E844" s="60">
        <f t="shared" si="13"/>
        <v>0</v>
      </c>
    </row>
    <row r="845" spans="1:5" x14ac:dyDescent="0.25">
      <c r="A845" s="60">
        <v>161</v>
      </c>
      <c r="B845" s="60" t="s">
        <v>117</v>
      </c>
      <c r="C845" s="60">
        <v>70</v>
      </c>
      <c r="D845" s="60">
        <v>0</v>
      </c>
      <c r="E845" s="60">
        <f t="shared" si="13"/>
        <v>0</v>
      </c>
    </row>
    <row r="846" spans="1:5" x14ac:dyDescent="0.25">
      <c r="A846" s="60">
        <v>161</v>
      </c>
      <c r="B846" s="60" t="s">
        <v>117</v>
      </c>
      <c r="C846" s="60">
        <v>110</v>
      </c>
      <c r="D846" s="60">
        <v>1937300</v>
      </c>
      <c r="E846" s="60">
        <f t="shared" si="13"/>
        <v>-1937300</v>
      </c>
    </row>
    <row r="847" spans="1:5" x14ac:dyDescent="0.25">
      <c r="A847" s="60">
        <v>161</v>
      </c>
      <c r="B847" s="60" t="s">
        <v>117</v>
      </c>
      <c r="C847" s="60">
        <v>120</v>
      </c>
      <c r="D847" s="60">
        <v>0</v>
      </c>
      <c r="E847" s="60">
        <f t="shared" si="13"/>
        <v>0</v>
      </c>
    </row>
    <row r="848" spans="1:5" x14ac:dyDescent="0.25">
      <c r="A848" s="60">
        <v>161</v>
      </c>
      <c r="B848" s="60" t="s">
        <v>117</v>
      </c>
      <c r="C848" s="60">
        <v>130</v>
      </c>
      <c r="D848" s="60">
        <v>0</v>
      </c>
      <c r="E848" s="60">
        <f t="shared" si="13"/>
        <v>0</v>
      </c>
    </row>
    <row r="849" spans="1:5" x14ac:dyDescent="0.25">
      <c r="A849" s="60">
        <v>161</v>
      </c>
      <c r="B849" s="60" t="s">
        <v>117</v>
      </c>
      <c r="C849" s="60">
        <v>140</v>
      </c>
      <c r="D849" s="60">
        <v>0</v>
      </c>
      <c r="E849" s="60">
        <f t="shared" si="13"/>
        <v>0</v>
      </c>
    </row>
    <row r="850" spans="1:5" x14ac:dyDescent="0.25">
      <c r="A850" s="60">
        <v>161</v>
      </c>
      <c r="B850" s="60" t="s">
        <v>117</v>
      </c>
      <c r="C850" s="60">
        <v>200</v>
      </c>
      <c r="D850" s="60">
        <v>0</v>
      </c>
      <c r="E850" s="60">
        <f t="shared" si="13"/>
        <v>0</v>
      </c>
    </row>
    <row r="851" spans="1:5" x14ac:dyDescent="0.25">
      <c r="A851" s="60">
        <v>161</v>
      </c>
      <c r="B851" s="60" t="s">
        <v>117</v>
      </c>
      <c r="C851" s="60">
        <v>210</v>
      </c>
      <c r="D851" s="60">
        <v>23549</v>
      </c>
      <c r="E851" s="60">
        <f t="shared" si="13"/>
        <v>-23549</v>
      </c>
    </row>
    <row r="852" spans="1:5" x14ac:dyDescent="0.25">
      <c r="A852" s="60">
        <v>161</v>
      </c>
      <c r="B852" s="60" t="s">
        <v>117</v>
      </c>
      <c r="C852" s="60">
        <v>220</v>
      </c>
      <c r="D852" s="60">
        <v>0</v>
      </c>
      <c r="E852" s="60">
        <f t="shared" si="13"/>
        <v>0</v>
      </c>
    </row>
    <row r="853" spans="1:5" x14ac:dyDescent="0.25">
      <c r="A853" s="60">
        <v>161</v>
      </c>
      <c r="B853" s="60" t="s">
        <v>117</v>
      </c>
      <c r="C853" s="60">
        <v>230</v>
      </c>
      <c r="D853" s="60">
        <v>0</v>
      </c>
      <c r="E853" s="60">
        <f t="shared" si="13"/>
        <v>0</v>
      </c>
    </row>
    <row r="854" spans="1:5" x14ac:dyDescent="0.25">
      <c r="A854" s="60">
        <v>161</v>
      </c>
      <c r="B854" s="60" t="s">
        <v>117</v>
      </c>
      <c r="C854" s="60">
        <v>298</v>
      </c>
      <c r="D854" s="60">
        <v>0</v>
      </c>
      <c r="E854" s="60">
        <f t="shared" si="13"/>
        <v>0</v>
      </c>
    </row>
    <row r="855" spans="1:5" x14ac:dyDescent="0.25">
      <c r="A855" s="60">
        <v>161</v>
      </c>
      <c r="B855" s="60" t="s">
        <v>118</v>
      </c>
      <c r="C855" s="60">
        <v>1</v>
      </c>
      <c r="D855" s="60">
        <v>0</v>
      </c>
      <c r="E855" s="60">
        <f t="shared" si="13"/>
        <v>0</v>
      </c>
    </row>
    <row r="856" spans="1:5" x14ac:dyDescent="0.25">
      <c r="A856" s="60">
        <v>161</v>
      </c>
      <c r="B856" s="60" t="s">
        <v>118</v>
      </c>
      <c r="C856" s="60">
        <v>10</v>
      </c>
      <c r="D856" s="60">
        <v>0</v>
      </c>
      <c r="E856" s="60">
        <f t="shared" si="13"/>
        <v>0</v>
      </c>
    </row>
    <row r="857" spans="1:5" x14ac:dyDescent="0.25">
      <c r="A857" s="60">
        <v>161</v>
      </c>
      <c r="B857" s="60" t="s">
        <v>118</v>
      </c>
      <c r="C857" s="60">
        <v>20</v>
      </c>
      <c r="D857" s="60">
        <v>0</v>
      </c>
      <c r="E857" s="60">
        <f t="shared" si="13"/>
        <v>0</v>
      </c>
    </row>
    <row r="858" spans="1:5" x14ac:dyDescent="0.25">
      <c r="A858" s="60">
        <v>161</v>
      </c>
      <c r="B858" s="60" t="s">
        <v>118</v>
      </c>
      <c r="C858" s="60">
        <v>50</v>
      </c>
      <c r="D858" s="60">
        <v>0</v>
      </c>
      <c r="E858" s="60">
        <f t="shared" si="13"/>
        <v>0</v>
      </c>
    </row>
    <row r="859" spans="1:5" x14ac:dyDescent="0.25">
      <c r="A859" s="60">
        <v>161</v>
      </c>
      <c r="B859" s="60" t="s">
        <v>118</v>
      </c>
      <c r="C859" s="60">
        <v>70</v>
      </c>
      <c r="D859" s="60">
        <v>0</v>
      </c>
      <c r="E859" s="60">
        <f t="shared" si="13"/>
        <v>0</v>
      </c>
    </row>
    <row r="860" spans="1:5" x14ac:dyDescent="0.25">
      <c r="A860" s="60">
        <v>161</v>
      </c>
      <c r="B860" s="60" t="s">
        <v>118</v>
      </c>
      <c r="C860" s="60">
        <v>100</v>
      </c>
      <c r="D860" s="60">
        <v>0</v>
      </c>
      <c r="E860" s="60">
        <f t="shared" si="13"/>
        <v>0</v>
      </c>
    </row>
    <row r="861" spans="1:5" x14ac:dyDescent="0.25">
      <c r="A861" s="60">
        <v>161</v>
      </c>
      <c r="B861" s="60" t="s">
        <v>118</v>
      </c>
      <c r="C861" s="60">
        <v>110</v>
      </c>
      <c r="D861" s="60">
        <v>0</v>
      </c>
      <c r="E861" s="60">
        <f t="shared" si="13"/>
        <v>0</v>
      </c>
    </row>
    <row r="862" spans="1:5" x14ac:dyDescent="0.25">
      <c r="A862" s="60">
        <v>161</v>
      </c>
      <c r="B862" s="60" t="s">
        <v>118</v>
      </c>
      <c r="C862" s="60">
        <v>120</v>
      </c>
      <c r="D862" s="60">
        <v>0</v>
      </c>
      <c r="E862" s="60">
        <f t="shared" si="13"/>
        <v>0</v>
      </c>
    </row>
    <row r="863" spans="1:5" x14ac:dyDescent="0.25">
      <c r="A863" s="60">
        <v>161</v>
      </c>
      <c r="B863" s="60" t="s">
        <v>118</v>
      </c>
      <c r="C863" s="60">
        <v>130</v>
      </c>
      <c r="D863" s="60">
        <v>0</v>
      </c>
      <c r="E863" s="60">
        <f t="shared" si="13"/>
        <v>0</v>
      </c>
    </row>
    <row r="864" spans="1:5" x14ac:dyDescent="0.25">
      <c r="A864" s="60">
        <v>161</v>
      </c>
      <c r="B864" s="60" t="s">
        <v>118</v>
      </c>
      <c r="C864" s="60">
        <v>140</v>
      </c>
      <c r="D864" s="60">
        <v>0</v>
      </c>
      <c r="E864" s="60">
        <f t="shared" si="13"/>
        <v>0</v>
      </c>
    </row>
    <row r="865" spans="1:5" x14ac:dyDescent="0.25">
      <c r="A865" s="60">
        <v>161</v>
      </c>
      <c r="B865" s="60" t="s">
        <v>118</v>
      </c>
      <c r="C865" s="60">
        <v>160</v>
      </c>
      <c r="D865" s="60">
        <v>0</v>
      </c>
      <c r="E865" s="60">
        <f t="shared" si="13"/>
        <v>0</v>
      </c>
    </row>
    <row r="866" spans="1:5" x14ac:dyDescent="0.25">
      <c r="A866" s="60">
        <v>161</v>
      </c>
      <c r="B866" s="60" t="s">
        <v>118</v>
      </c>
      <c r="C866" s="60">
        <v>200</v>
      </c>
      <c r="D866" s="60">
        <v>0</v>
      </c>
      <c r="E866" s="60">
        <f t="shared" si="13"/>
        <v>0</v>
      </c>
    </row>
    <row r="867" spans="1:5" x14ac:dyDescent="0.25">
      <c r="A867" s="60">
        <v>161</v>
      </c>
      <c r="B867" s="60" t="s">
        <v>118</v>
      </c>
      <c r="C867" s="60">
        <v>210</v>
      </c>
      <c r="D867" s="60">
        <v>0</v>
      </c>
      <c r="E867" s="60">
        <f t="shared" si="13"/>
        <v>0</v>
      </c>
    </row>
    <row r="868" spans="1:5" x14ac:dyDescent="0.25">
      <c r="A868" s="60">
        <v>161</v>
      </c>
      <c r="B868" s="60" t="s">
        <v>118</v>
      </c>
      <c r="C868" s="60">
        <v>220</v>
      </c>
      <c r="D868" s="60">
        <v>0</v>
      </c>
      <c r="E868" s="60">
        <f t="shared" si="13"/>
        <v>0</v>
      </c>
    </row>
    <row r="869" spans="1:5" x14ac:dyDescent="0.25">
      <c r="A869" s="60">
        <v>161</v>
      </c>
      <c r="B869" s="60" t="s">
        <v>118</v>
      </c>
      <c r="C869" s="60">
        <v>230</v>
      </c>
      <c r="D869" s="60">
        <v>0</v>
      </c>
      <c r="E869" s="60">
        <f t="shared" si="13"/>
        <v>0</v>
      </c>
    </row>
    <row r="870" spans="1:5" x14ac:dyDescent="0.25">
      <c r="A870" s="60">
        <v>161</v>
      </c>
      <c r="B870" s="60" t="s">
        <v>118</v>
      </c>
      <c r="C870" s="60">
        <v>260</v>
      </c>
      <c r="D870" s="60">
        <v>0</v>
      </c>
      <c r="E870" s="60">
        <f t="shared" si="13"/>
        <v>0</v>
      </c>
    </row>
    <row r="871" spans="1:5" x14ac:dyDescent="0.25">
      <c r="A871" s="60">
        <v>161</v>
      </c>
      <c r="B871" s="60" t="s">
        <v>118</v>
      </c>
      <c r="C871" s="60">
        <v>298</v>
      </c>
      <c r="D871" s="60">
        <v>0</v>
      </c>
      <c r="E871" s="60">
        <f t="shared" si="13"/>
        <v>0</v>
      </c>
    </row>
    <row r="872" spans="1:5" x14ac:dyDescent="0.25">
      <c r="A872" s="60">
        <v>161</v>
      </c>
      <c r="B872" s="60" t="s">
        <v>119</v>
      </c>
      <c r="C872" s="60">
        <v>1</v>
      </c>
      <c r="D872" s="60">
        <v>0</v>
      </c>
      <c r="E872" s="60">
        <f t="shared" si="13"/>
        <v>0</v>
      </c>
    </row>
    <row r="873" spans="1:5" x14ac:dyDescent="0.25">
      <c r="A873" s="60">
        <v>161</v>
      </c>
      <c r="B873" s="60" t="s">
        <v>119</v>
      </c>
      <c r="C873" s="60">
        <v>10</v>
      </c>
      <c r="D873" s="60">
        <v>0</v>
      </c>
      <c r="E873" s="60">
        <f t="shared" si="13"/>
        <v>0</v>
      </c>
    </row>
    <row r="874" spans="1:5" x14ac:dyDescent="0.25">
      <c r="A874" s="60">
        <v>161</v>
      </c>
      <c r="B874" s="60" t="s">
        <v>119</v>
      </c>
      <c r="C874" s="60">
        <v>20</v>
      </c>
      <c r="D874" s="60">
        <v>0</v>
      </c>
      <c r="E874" s="60">
        <f t="shared" si="13"/>
        <v>0</v>
      </c>
    </row>
    <row r="875" spans="1:5" x14ac:dyDescent="0.25">
      <c r="A875" s="60">
        <v>161</v>
      </c>
      <c r="B875" s="60" t="s">
        <v>119</v>
      </c>
      <c r="C875" s="60">
        <v>50</v>
      </c>
      <c r="D875" s="60">
        <v>0</v>
      </c>
      <c r="E875" s="60">
        <f t="shared" si="13"/>
        <v>0</v>
      </c>
    </row>
    <row r="876" spans="1:5" x14ac:dyDescent="0.25">
      <c r="A876" s="60">
        <v>161</v>
      </c>
      <c r="B876" s="60" t="s">
        <v>119</v>
      </c>
      <c r="C876" s="60">
        <v>70</v>
      </c>
      <c r="D876" s="60">
        <v>0</v>
      </c>
      <c r="E876" s="60">
        <f t="shared" si="13"/>
        <v>0</v>
      </c>
    </row>
    <row r="877" spans="1:5" x14ac:dyDescent="0.25">
      <c r="A877" s="60">
        <v>161</v>
      </c>
      <c r="B877" s="60" t="s">
        <v>119</v>
      </c>
      <c r="C877" s="60">
        <v>110</v>
      </c>
      <c r="D877" s="60">
        <v>0</v>
      </c>
      <c r="E877" s="60">
        <f t="shared" si="13"/>
        <v>0</v>
      </c>
    </row>
    <row r="878" spans="1:5" x14ac:dyDescent="0.25">
      <c r="A878" s="60">
        <v>161</v>
      </c>
      <c r="B878" s="60" t="s">
        <v>119</v>
      </c>
      <c r="C878" s="60">
        <v>120</v>
      </c>
      <c r="D878" s="60">
        <v>0</v>
      </c>
      <c r="E878" s="60">
        <f t="shared" si="13"/>
        <v>0</v>
      </c>
    </row>
    <row r="879" spans="1:5" x14ac:dyDescent="0.25">
      <c r="A879" s="60">
        <v>161</v>
      </c>
      <c r="B879" s="60" t="s">
        <v>119</v>
      </c>
      <c r="C879" s="60">
        <v>140</v>
      </c>
      <c r="D879" s="60">
        <v>0</v>
      </c>
      <c r="E879" s="60">
        <f t="shared" si="13"/>
        <v>0</v>
      </c>
    </row>
    <row r="880" spans="1:5" x14ac:dyDescent="0.25">
      <c r="A880" s="60">
        <v>161</v>
      </c>
      <c r="B880" s="60" t="s">
        <v>119</v>
      </c>
      <c r="C880" s="60">
        <v>200</v>
      </c>
      <c r="D880" s="60">
        <v>0</v>
      </c>
      <c r="E880" s="60">
        <f t="shared" si="13"/>
        <v>0</v>
      </c>
    </row>
    <row r="881" spans="1:5" x14ac:dyDescent="0.25">
      <c r="A881" s="60">
        <v>161</v>
      </c>
      <c r="B881" s="60" t="s">
        <v>119</v>
      </c>
      <c r="C881" s="60">
        <v>210</v>
      </c>
      <c r="D881" s="60">
        <v>0</v>
      </c>
      <c r="E881" s="60">
        <f t="shared" si="13"/>
        <v>0</v>
      </c>
    </row>
    <row r="882" spans="1:5" x14ac:dyDescent="0.25">
      <c r="A882" s="60">
        <v>161</v>
      </c>
      <c r="B882" s="60" t="s">
        <v>119</v>
      </c>
      <c r="C882" s="60">
        <v>220</v>
      </c>
      <c r="D882" s="60">
        <v>0</v>
      </c>
      <c r="E882" s="60">
        <f t="shared" si="13"/>
        <v>0</v>
      </c>
    </row>
    <row r="883" spans="1:5" x14ac:dyDescent="0.25">
      <c r="A883" s="60">
        <v>161</v>
      </c>
      <c r="B883" s="60" t="s">
        <v>119</v>
      </c>
      <c r="C883" s="60">
        <v>230</v>
      </c>
      <c r="D883" s="60">
        <v>0</v>
      </c>
      <c r="E883" s="60">
        <f t="shared" si="13"/>
        <v>0</v>
      </c>
    </row>
    <row r="884" spans="1:5" x14ac:dyDescent="0.25">
      <c r="A884" s="60">
        <v>161</v>
      </c>
      <c r="B884" s="60" t="s">
        <v>119</v>
      </c>
      <c r="C884" s="60">
        <v>270</v>
      </c>
      <c r="D884" s="60">
        <v>0</v>
      </c>
      <c r="E884" s="60">
        <f t="shared" si="13"/>
        <v>0</v>
      </c>
    </row>
    <row r="885" spans="1:5" x14ac:dyDescent="0.25">
      <c r="A885" s="60">
        <v>161</v>
      </c>
      <c r="B885" s="60" t="s">
        <v>119</v>
      </c>
      <c r="C885" s="60">
        <v>298</v>
      </c>
      <c r="D885" s="60">
        <v>0</v>
      </c>
      <c r="E885" s="60">
        <f t="shared" si="13"/>
        <v>0</v>
      </c>
    </row>
    <row r="886" spans="1:5" x14ac:dyDescent="0.25">
      <c r="A886" s="60">
        <v>161</v>
      </c>
      <c r="B886" s="60" t="s">
        <v>120</v>
      </c>
      <c r="C886" s="60">
        <v>1</v>
      </c>
      <c r="D886" s="60">
        <v>0</v>
      </c>
      <c r="E886" s="60">
        <f t="shared" si="13"/>
        <v>0</v>
      </c>
    </row>
    <row r="887" spans="1:5" x14ac:dyDescent="0.25">
      <c r="A887" s="60">
        <v>161</v>
      </c>
      <c r="B887" s="60" t="s">
        <v>120</v>
      </c>
      <c r="C887" s="60">
        <v>10</v>
      </c>
      <c r="D887" s="60">
        <v>0</v>
      </c>
      <c r="E887" s="60">
        <f t="shared" si="13"/>
        <v>0</v>
      </c>
    </row>
    <row r="888" spans="1:5" x14ac:dyDescent="0.25">
      <c r="A888" s="60">
        <v>161</v>
      </c>
      <c r="B888" s="60" t="s">
        <v>120</v>
      </c>
      <c r="C888" s="60">
        <v>20</v>
      </c>
      <c r="D888" s="60">
        <v>0</v>
      </c>
      <c r="E888" s="60">
        <f t="shared" si="13"/>
        <v>0</v>
      </c>
    </row>
    <row r="889" spans="1:5" x14ac:dyDescent="0.25">
      <c r="A889" s="60">
        <v>161</v>
      </c>
      <c r="B889" s="60" t="s">
        <v>120</v>
      </c>
      <c r="C889" s="60">
        <v>50</v>
      </c>
      <c r="D889" s="60">
        <v>0</v>
      </c>
      <c r="E889" s="60">
        <f t="shared" si="13"/>
        <v>0</v>
      </c>
    </row>
    <row r="890" spans="1:5" x14ac:dyDescent="0.25">
      <c r="A890" s="60">
        <v>161</v>
      </c>
      <c r="B890" s="60" t="s">
        <v>120</v>
      </c>
      <c r="C890" s="60">
        <v>70</v>
      </c>
      <c r="D890" s="60">
        <v>0</v>
      </c>
      <c r="E890" s="60">
        <f t="shared" si="13"/>
        <v>0</v>
      </c>
    </row>
    <row r="891" spans="1:5" x14ac:dyDescent="0.25">
      <c r="A891" s="60">
        <v>161</v>
      </c>
      <c r="B891" s="60" t="s">
        <v>120</v>
      </c>
      <c r="C891" s="60">
        <v>110</v>
      </c>
      <c r="D891" s="60">
        <v>0</v>
      </c>
      <c r="E891" s="60">
        <f t="shared" si="13"/>
        <v>0</v>
      </c>
    </row>
    <row r="892" spans="1:5" x14ac:dyDescent="0.25">
      <c r="A892" s="60">
        <v>161</v>
      </c>
      <c r="B892" s="60" t="s">
        <v>120</v>
      </c>
      <c r="C892" s="60">
        <v>120</v>
      </c>
      <c r="D892" s="60">
        <v>0</v>
      </c>
      <c r="E892" s="60">
        <f t="shared" si="13"/>
        <v>0</v>
      </c>
    </row>
    <row r="893" spans="1:5" x14ac:dyDescent="0.25">
      <c r="A893" s="60">
        <v>161</v>
      </c>
      <c r="B893" s="60" t="s">
        <v>120</v>
      </c>
      <c r="C893" s="60">
        <v>130</v>
      </c>
      <c r="D893" s="60">
        <v>0</v>
      </c>
      <c r="E893" s="60">
        <f t="shared" si="13"/>
        <v>0</v>
      </c>
    </row>
    <row r="894" spans="1:5" x14ac:dyDescent="0.25">
      <c r="A894" s="60">
        <v>161</v>
      </c>
      <c r="B894" s="60" t="s">
        <v>120</v>
      </c>
      <c r="C894" s="60">
        <v>140</v>
      </c>
      <c r="D894" s="60">
        <v>0</v>
      </c>
      <c r="E894" s="60">
        <f t="shared" si="13"/>
        <v>0</v>
      </c>
    </row>
    <row r="895" spans="1:5" x14ac:dyDescent="0.25">
      <c r="A895" s="60">
        <v>161</v>
      </c>
      <c r="B895" s="60" t="s">
        <v>120</v>
      </c>
      <c r="C895" s="60">
        <v>160</v>
      </c>
      <c r="D895" s="60">
        <v>0</v>
      </c>
      <c r="E895" s="60">
        <f t="shared" si="13"/>
        <v>0</v>
      </c>
    </row>
    <row r="896" spans="1:5" x14ac:dyDescent="0.25">
      <c r="A896" s="60">
        <v>161</v>
      </c>
      <c r="B896" s="60" t="s">
        <v>120</v>
      </c>
      <c r="C896" s="60">
        <v>200</v>
      </c>
      <c r="D896" s="60">
        <v>0</v>
      </c>
      <c r="E896" s="60">
        <f t="shared" si="13"/>
        <v>0</v>
      </c>
    </row>
    <row r="897" spans="1:5" x14ac:dyDescent="0.25">
      <c r="A897" s="60">
        <v>161</v>
      </c>
      <c r="B897" s="60" t="s">
        <v>120</v>
      </c>
      <c r="C897" s="60">
        <v>210</v>
      </c>
      <c r="D897" s="60">
        <v>0</v>
      </c>
      <c r="E897" s="60">
        <f t="shared" si="13"/>
        <v>0</v>
      </c>
    </row>
    <row r="898" spans="1:5" x14ac:dyDescent="0.25">
      <c r="A898" s="60">
        <v>161</v>
      </c>
      <c r="B898" s="60" t="s">
        <v>120</v>
      </c>
      <c r="C898" s="60">
        <v>220</v>
      </c>
      <c r="D898" s="60">
        <v>0</v>
      </c>
      <c r="E898" s="60">
        <f t="shared" ref="E898:E961" si="14">IF(C898&lt;100,D898,D898*-1)</f>
        <v>0</v>
      </c>
    </row>
    <row r="899" spans="1:5" x14ac:dyDescent="0.25">
      <c r="A899" s="60">
        <v>161</v>
      </c>
      <c r="B899" s="60" t="s">
        <v>120</v>
      </c>
      <c r="C899" s="60">
        <v>230</v>
      </c>
      <c r="D899" s="60">
        <v>0</v>
      </c>
      <c r="E899" s="60">
        <f t="shared" si="14"/>
        <v>0</v>
      </c>
    </row>
    <row r="900" spans="1:5" x14ac:dyDescent="0.25">
      <c r="A900" s="60">
        <v>161</v>
      </c>
      <c r="B900" s="60" t="s">
        <v>120</v>
      </c>
      <c r="C900" s="60">
        <v>260</v>
      </c>
      <c r="D900" s="60">
        <v>0</v>
      </c>
      <c r="E900" s="60">
        <f t="shared" si="14"/>
        <v>0</v>
      </c>
    </row>
    <row r="901" spans="1:5" x14ac:dyDescent="0.25">
      <c r="A901" s="60">
        <v>161</v>
      </c>
      <c r="B901" s="60" t="s">
        <v>120</v>
      </c>
      <c r="C901" s="60">
        <v>298</v>
      </c>
      <c r="D901" s="60">
        <v>0</v>
      </c>
      <c r="E901" s="60">
        <f t="shared" si="14"/>
        <v>0</v>
      </c>
    </row>
    <row r="902" spans="1:5" x14ac:dyDescent="0.25">
      <c r="A902" s="60">
        <v>161</v>
      </c>
      <c r="B902" s="60" t="s">
        <v>121</v>
      </c>
      <c r="C902" s="60">
        <v>1</v>
      </c>
      <c r="D902" s="60">
        <v>0</v>
      </c>
      <c r="E902" s="60">
        <f t="shared" si="14"/>
        <v>0</v>
      </c>
    </row>
    <row r="903" spans="1:5" x14ac:dyDescent="0.25">
      <c r="A903" s="60">
        <v>161</v>
      </c>
      <c r="B903" s="60" t="s">
        <v>121</v>
      </c>
      <c r="C903" s="60">
        <v>10</v>
      </c>
      <c r="D903" s="60">
        <v>0</v>
      </c>
      <c r="E903" s="60">
        <f t="shared" si="14"/>
        <v>0</v>
      </c>
    </row>
    <row r="904" spans="1:5" x14ac:dyDescent="0.25">
      <c r="A904" s="60">
        <v>161</v>
      </c>
      <c r="B904" s="60" t="s">
        <v>121</v>
      </c>
      <c r="C904" s="60">
        <v>50</v>
      </c>
      <c r="D904" s="60">
        <v>0</v>
      </c>
      <c r="E904" s="60">
        <f t="shared" si="14"/>
        <v>0</v>
      </c>
    </row>
    <row r="905" spans="1:5" x14ac:dyDescent="0.25">
      <c r="A905" s="60">
        <v>161</v>
      </c>
      <c r="B905" s="60" t="s">
        <v>121</v>
      </c>
      <c r="C905" s="60">
        <v>70</v>
      </c>
      <c r="D905" s="60">
        <v>0</v>
      </c>
      <c r="E905" s="60">
        <f t="shared" si="14"/>
        <v>0</v>
      </c>
    </row>
    <row r="906" spans="1:5" x14ac:dyDescent="0.25">
      <c r="A906" s="60">
        <v>161</v>
      </c>
      <c r="B906" s="60" t="s">
        <v>121</v>
      </c>
      <c r="C906" s="60">
        <v>110</v>
      </c>
      <c r="D906" s="60">
        <v>0</v>
      </c>
      <c r="E906" s="60">
        <f t="shared" si="14"/>
        <v>0</v>
      </c>
    </row>
    <row r="907" spans="1:5" x14ac:dyDescent="0.25">
      <c r="A907" s="60">
        <v>161</v>
      </c>
      <c r="B907" s="60" t="s">
        <v>121</v>
      </c>
      <c r="C907" s="60">
        <v>140</v>
      </c>
      <c r="D907" s="60">
        <v>0</v>
      </c>
      <c r="E907" s="60">
        <f t="shared" si="14"/>
        <v>0</v>
      </c>
    </row>
    <row r="908" spans="1:5" x14ac:dyDescent="0.25">
      <c r="A908" s="60">
        <v>161</v>
      </c>
      <c r="B908" s="60" t="s">
        <v>121</v>
      </c>
      <c r="C908" s="60">
        <v>200</v>
      </c>
      <c r="D908" s="60">
        <v>0</v>
      </c>
      <c r="E908" s="60">
        <f t="shared" si="14"/>
        <v>0</v>
      </c>
    </row>
    <row r="909" spans="1:5" x14ac:dyDescent="0.25">
      <c r="A909" s="60">
        <v>161</v>
      </c>
      <c r="B909" s="60" t="s">
        <v>121</v>
      </c>
      <c r="C909" s="60">
        <v>210</v>
      </c>
      <c r="D909" s="60">
        <v>0</v>
      </c>
      <c r="E909" s="60">
        <f t="shared" si="14"/>
        <v>0</v>
      </c>
    </row>
    <row r="910" spans="1:5" x14ac:dyDescent="0.25">
      <c r="A910" s="60">
        <v>161</v>
      </c>
      <c r="B910" s="60" t="s">
        <v>121</v>
      </c>
      <c r="C910" s="60">
        <v>230</v>
      </c>
      <c r="D910" s="60">
        <v>0</v>
      </c>
      <c r="E910" s="60">
        <f t="shared" si="14"/>
        <v>0</v>
      </c>
    </row>
    <row r="911" spans="1:5" x14ac:dyDescent="0.25">
      <c r="A911" s="60">
        <v>161</v>
      </c>
      <c r="B911" s="60" t="s">
        <v>121</v>
      </c>
      <c r="C911" s="60">
        <v>260</v>
      </c>
      <c r="D911" s="60">
        <v>0</v>
      </c>
      <c r="E911" s="60">
        <f t="shared" si="14"/>
        <v>0</v>
      </c>
    </row>
    <row r="912" spans="1:5" x14ac:dyDescent="0.25">
      <c r="A912" s="60">
        <v>171</v>
      </c>
      <c r="B912" s="60" t="s">
        <v>117</v>
      </c>
      <c r="C912" s="60">
        <v>1</v>
      </c>
      <c r="D912" s="60">
        <v>28280021</v>
      </c>
      <c r="E912" s="60">
        <f t="shared" si="14"/>
        <v>28280021</v>
      </c>
    </row>
    <row r="913" spans="1:5" x14ac:dyDescent="0.25">
      <c r="A913" s="60">
        <v>171</v>
      </c>
      <c r="B913" s="60" t="s">
        <v>117</v>
      </c>
      <c r="C913" s="60">
        <v>10</v>
      </c>
      <c r="D913" s="60">
        <v>3240280</v>
      </c>
      <c r="E913" s="60">
        <f t="shared" si="14"/>
        <v>3240280</v>
      </c>
    </row>
    <row r="914" spans="1:5" x14ac:dyDescent="0.25">
      <c r="A914" s="60">
        <v>171</v>
      </c>
      <c r="B914" s="60" t="s">
        <v>117</v>
      </c>
      <c r="C914" s="60">
        <v>50</v>
      </c>
      <c r="D914" s="60">
        <v>0</v>
      </c>
      <c r="E914" s="60">
        <f t="shared" si="14"/>
        <v>0</v>
      </c>
    </row>
    <row r="915" spans="1:5" x14ac:dyDescent="0.25">
      <c r="A915" s="60">
        <v>171</v>
      </c>
      <c r="B915" s="60" t="s">
        <v>117</v>
      </c>
      <c r="C915" s="60">
        <v>70</v>
      </c>
      <c r="D915" s="60">
        <v>0</v>
      </c>
      <c r="E915" s="60">
        <f t="shared" si="14"/>
        <v>0</v>
      </c>
    </row>
    <row r="916" spans="1:5" x14ac:dyDescent="0.25">
      <c r="A916" s="60">
        <v>171</v>
      </c>
      <c r="B916" s="60" t="s">
        <v>117</v>
      </c>
      <c r="C916" s="60">
        <v>110</v>
      </c>
      <c r="D916" s="60">
        <v>1934320</v>
      </c>
      <c r="E916" s="60">
        <f t="shared" si="14"/>
        <v>-1934320</v>
      </c>
    </row>
    <row r="917" spans="1:5" x14ac:dyDescent="0.25">
      <c r="A917" s="60">
        <v>171</v>
      </c>
      <c r="B917" s="60" t="s">
        <v>117</v>
      </c>
      <c r="C917" s="60">
        <v>120</v>
      </c>
      <c r="D917" s="60">
        <v>0</v>
      </c>
      <c r="E917" s="60">
        <f t="shared" si="14"/>
        <v>0</v>
      </c>
    </row>
    <row r="918" spans="1:5" x14ac:dyDescent="0.25">
      <c r="A918" s="60">
        <v>171</v>
      </c>
      <c r="B918" s="60" t="s">
        <v>117</v>
      </c>
      <c r="C918" s="60">
        <v>130</v>
      </c>
      <c r="D918" s="60">
        <v>0</v>
      </c>
      <c r="E918" s="60">
        <f t="shared" si="14"/>
        <v>0</v>
      </c>
    </row>
    <row r="919" spans="1:5" x14ac:dyDescent="0.25">
      <c r="A919" s="60">
        <v>171</v>
      </c>
      <c r="B919" s="60" t="s">
        <v>117</v>
      </c>
      <c r="C919" s="60">
        <v>140</v>
      </c>
      <c r="D919" s="60">
        <v>0</v>
      </c>
      <c r="E919" s="60">
        <f t="shared" si="14"/>
        <v>0</v>
      </c>
    </row>
    <row r="920" spans="1:5" x14ac:dyDescent="0.25">
      <c r="A920" s="60">
        <v>171</v>
      </c>
      <c r="B920" s="60" t="s">
        <v>117</v>
      </c>
      <c r="C920" s="60">
        <v>200</v>
      </c>
      <c r="D920" s="60">
        <v>16201</v>
      </c>
      <c r="E920" s="60">
        <f t="shared" si="14"/>
        <v>-16201</v>
      </c>
    </row>
    <row r="921" spans="1:5" x14ac:dyDescent="0.25">
      <c r="A921" s="60">
        <v>171</v>
      </c>
      <c r="B921" s="60" t="s">
        <v>117</v>
      </c>
      <c r="C921" s="60">
        <v>210</v>
      </c>
      <c r="D921" s="60">
        <v>23749</v>
      </c>
      <c r="E921" s="60">
        <f t="shared" si="14"/>
        <v>-23749</v>
      </c>
    </row>
    <row r="922" spans="1:5" x14ac:dyDescent="0.25">
      <c r="A922" s="60">
        <v>171</v>
      </c>
      <c r="B922" s="60" t="s">
        <v>117</v>
      </c>
      <c r="C922" s="60">
        <v>230</v>
      </c>
      <c r="D922" s="60">
        <v>0</v>
      </c>
      <c r="E922" s="60">
        <f t="shared" si="14"/>
        <v>0</v>
      </c>
    </row>
    <row r="923" spans="1:5" x14ac:dyDescent="0.25">
      <c r="A923" s="60">
        <v>171</v>
      </c>
      <c r="B923" s="60" t="s">
        <v>117</v>
      </c>
      <c r="C923" s="60">
        <v>298</v>
      </c>
      <c r="D923" s="60">
        <v>0</v>
      </c>
      <c r="E923" s="60">
        <f t="shared" si="14"/>
        <v>0</v>
      </c>
    </row>
    <row r="924" spans="1:5" x14ac:dyDescent="0.25">
      <c r="A924" s="60">
        <v>171</v>
      </c>
      <c r="B924" s="60" t="s">
        <v>118</v>
      </c>
      <c r="C924" s="60">
        <v>1</v>
      </c>
      <c r="D924" s="60">
        <v>0</v>
      </c>
      <c r="E924" s="60">
        <f t="shared" si="14"/>
        <v>0</v>
      </c>
    </row>
    <row r="925" spans="1:5" x14ac:dyDescent="0.25">
      <c r="A925" s="60">
        <v>171</v>
      </c>
      <c r="B925" s="60" t="s">
        <v>118</v>
      </c>
      <c r="C925" s="60">
        <v>10</v>
      </c>
      <c r="D925" s="60">
        <v>0</v>
      </c>
      <c r="E925" s="60">
        <f t="shared" si="14"/>
        <v>0</v>
      </c>
    </row>
    <row r="926" spans="1:5" x14ac:dyDescent="0.25">
      <c r="A926" s="60">
        <v>171</v>
      </c>
      <c r="B926" s="60" t="s">
        <v>118</v>
      </c>
      <c r="C926" s="60">
        <v>20</v>
      </c>
      <c r="D926" s="60">
        <v>0</v>
      </c>
      <c r="E926" s="60">
        <f t="shared" si="14"/>
        <v>0</v>
      </c>
    </row>
    <row r="927" spans="1:5" x14ac:dyDescent="0.25">
      <c r="A927" s="60">
        <v>171</v>
      </c>
      <c r="B927" s="60" t="s">
        <v>118</v>
      </c>
      <c r="C927" s="60">
        <v>50</v>
      </c>
      <c r="D927" s="60">
        <v>0</v>
      </c>
      <c r="E927" s="60">
        <f t="shared" si="14"/>
        <v>0</v>
      </c>
    </row>
    <row r="928" spans="1:5" x14ac:dyDescent="0.25">
      <c r="A928" s="60">
        <v>171</v>
      </c>
      <c r="B928" s="60" t="s">
        <v>118</v>
      </c>
      <c r="C928" s="60">
        <v>70</v>
      </c>
      <c r="D928" s="60">
        <v>0</v>
      </c>
      <c r="E928" s="60">
        <f t="shared" si="14"/>
        <v>0</v>
      </c>
    </row>
    <row r="929" spans="1:5" x14ac:dyDescent="0.25">
      <c r="A929" s="60">
        <v>171</v>
      </c>
      <c r="B929" s="60" t="s">
        <v>118</v>
      </c>
      <c r="C929" s="60">
        <v>110</v>
      </c>
      <c r="D929" s="60">
        <v>0</v>
      </c>
      <c r="E929" s="60">
        <f t="shared" si="14"/>
        <v>0</v>
      </c>
    </row>
    <row r="930" spans="1:5" x14ac:dyDescent="0.25">
      <c r="A930" s="60">
        <v>171</v>
      </c>
      <c r="B930" s="60" t="s">
        <v>118</v>
      </c>
      <c r="C930" s="60">
        <v>120</v>
      </c>
      <c r="D930" s="60">
        <v>0</v>
      </c>
      <c r="E930" s="60">
        <f t="shared" si="14"/>
        <v>0</v>
      </c>
    </row>
    <row r="931" spans="1:5" x14ac:dyDescent="0.25">
      <c r="A931" s="60">
        <v>171</v>
      </c>
      <c r="B931" s="60" t="s">
        <v>118</v>
      </c>
      <c r="C931" s="60">
        <v>130</v>
      </c>
      <c r="D931" s="60">
        <v>0</v>
      </c>
      <c r="E931" s="60">
        <f t="shared" si="14"/>
        <v>0</v>
      </c>
    </row>
    <row r="932" spans="1:5" x14ac:dyDescent="0.25">
      <c r="A932" s="60">
        <v>171</v>
      </c>
      <c r="B932" s="60" t="s">
        <v>118</v>
      </c>
      <c r="C932" s="60">
        <v>140</v>
      </c>
      <c r="D932" s="60">
        <v>0</v>
      </c>
      <c r="E932" s="60">
        <f t="shared" si="14"/>
        <v>0</v>
      </c>
    </row>
    <row r="933" spans="1:5" x14ac:dyDescent="0.25">
      <c r="A933" s="60">
        <v>171</v>
      </c>
      <c r="B933" s="60" t="s">
        <v>118</v>
      </c>
      <c r="C933" s="60">
        <v>160</v>
      </c>
      <c r="D933" s="60">
        <v>0</v>
      </c>
      <c r="E933" s="60">
        <f t="shared" si="14"/>
        <v>0</v>
      </c>
    </row>
    <row r="934" spans="1:5" x14ac:dyDescent="0.25">
      <c r="A934" s="60">
        <v>171</v>
      </c>
      <c r="B934" s="60" t="s">
        <v>118</v>
      </c>
      <c r="C934" s="60">
        <v>200</v>
      </c>
      <c r="D934" s="60">
        <v>0</v>
      </c>
      <c r="E934" s="60">
        <f t="shared" si="14"/>
        <v>0</v>
      </c>
    </row>
    <row r="935" spans="1:5" x14ac:dyDescent="0.25">
      <c r="A935" s="60">
        <v>171</v>
      </c>
      <c r="B935" s="60" t="s">
        <v>118</v>
      </c>
      <c r="C935" s="60">
        <v>220</v>
      </c>
      <c r="D935" s="60">
        <v>0</v>
      </c>
      <c r="E935" s="60">
        <f t="shared" si="14"/>
        <v>0</v>
      </c>
    </row>
    <row r="936" spans="1:5" x14ac:dyDescent="0.25">
      <c r="A936" s="60">
        <v>171</v>
      </c>
      <c r="B936" s="60" t="s">
        <v>118</v>
      </c>
      <c r="C936" s="60">
        <v>230</v>
      </c>
      <c r="D936" s="60">
        <v>0</v>
      </c>
      <c r="E936" s="60">
        <f t="shared" si="14"/>
        <v>0</v>
      </c>
    </row>
    <row r="937" spans="1:5" x14ac:dyDescent="0.25">
      <c r="A937" s="60">
        <v>171</v>
      </c>
      <c r="B937" s="60" t="s">
        <v>118</v>
      </c>
      <c r="C937" s="60">
        <v>260</v>
      </c>
      <c r="D937" s="60">
        <v>0</v>
      </c>
      <c r="E937" s="60">
        <f t="shared" si="14"/>
        <v>0</v>
      </c>
    </row>
    <row r="938" spans="1:5" x14ac:dyDescent="0.25">
      <c r="A938" s="60">
        <v>171</v>
      </c>
      <c r="B938" s="60" t="s">
        <v>118</v>
      </c>
      <c r="C938" s="60">
        <v>298</v>
      </c>
      <c r="D938" s="60">
        <v>0</v>
      </c>
      <c r="E938" s="60">
        <f t="shared" si="14"/>
        <v>0</v>
      </c>
    </row>
    <row r="939" spans="1:5" x14ac:dyDescent="0.25">
      <c r="A939" s="60">
        <v>171</v>
      </c>
      <c r="B939" s="60" t="s">
        <v>119</v>
      </c>
      <c r="C939" s="60">
        <v>1</v>
      </c>
      <c r="D939" s="60">
        <v>0</v>
      </c>
      <c r="E939" s="60">
        <f t="shared" si="14"/>
        <v>0</v>
      </c>
    </row>
    <row r="940" spans="1:5" x14ac:dyDescent="0.25">
      <c r="A940" s="60">
        <v>171</v>
      </c>
      <c r="B940" s="60" t="s">
        <v>119</v>
      </c>
      <c r="C940" s="60">
        <v>10</v>
      </c>
      <c r="D940" s="60">
        <v>0</v>
      </c>
      <c r="E940" s="60">
        <f t="shared" si="14"/>
        <v>0</v>
      </c>
    </row>
    <row r="941" spans="1:5" x14ac:dyDescent="0.25">
      <c r="A941" s="60">
        <v>171</v>
      </c>
      <c r="B941" s="60" t="s">
        <v>119</v>
      </c>
      <c r="C941" s="60">
        <v>20</v>
      </c>
      <c r="D941" s="60">
        <v>0</v>
      </c>
      <c r="E941" s="60">
        <f t="shared" si="14"/>
        <v>0</v>
      </c>
    </row>
    <row r="942" spans="1:5" x14ac:dyDescent="0.25">
      <c r="A942" s="60">
        <v>171</v>
      </c>
      <c r="B942" s="60" t="s">
        <v>119</v>
      </c>
      <c r="C942" s="60">
        <v>50</v>
      </c>
      <c r="D942" s="60">
        <v>0</v>
      </c>
      <c r="E942" s="60">
        <f t="shared" si="14"/>
        <v>0</v>
      </c>
    </row>
    <row r="943" spans="1:5" x14ac:dyDescent="0.25">
      <c r="A943" s="60">
        <v>171</v>
      </c>
      <c r="B943" s="60" t="s">
        <v>119</v>
      </c>
      <c r="C943" s="60">
        <v>70</v>
      </c>
      <c r="D943" s="60">
        <v>0</v>
      </c>
      <c r="E943" s="60">
        <f t="shared" si="14"/>
        <v>0</v>
      </c>
    </row>
    <row r="944" spans="1:5" x14ac:dyDescent="0.25">
      <c r="A944" s="60">
        <v>171</v>
      </c>
      <c r="B944" s="60" t="s">
        <v>119</v>
      </c>
      <c r="C944" s="60">
        <v>110</v>
      </c>
      <c r="D944" s="60">
        <v>0</v>
      </c>
      <c r="E944" s="60">
        <f t="shared" si="14"/>
        <v>0</v>
      </c>
    </row>
    <row r="945" spans="1:5" x14ac:dyDescent="0.25">
      <c r="A945" s="60">
        <v>171</v>
      </c>
      <c r="B945" s="60" t="s">
        <v>119</v>
      </c>
      <c r="C945" s="60">
        <v>130</v>
      </c>
      <c r="D945" s="60">
        <v>0</v>
      </c>
      <c r="E945" s="60">
        <f t="shared" si="14"/>
        <v>0</v>
      </c>
    </row>
    <row r="946" spans="1:5" x14ac:dyDescent="0.25">
      <c r="A946" s="60">
        <v>171</v>
      </c>
      <c r="B946" s="60" t="s">
        <v>119</v>
      </c>
      <c r="C946" s="60">
        <v>140</v>
      </c>
      <c r="D946" s="60">
        <v>0</v>
      </c>
      <c r="E946" s="60">
        <f t="shared" si="14"/>
        <v>0</v>
      </c>
    </row>
    <row r="947" spans="1:5" x14ac:dyDescent="0.25">
      <c r="A947" s="60">
        <v>171</v>
      </c>
      <c r="B947" s="60" t="s">
        <v>119</v>
      </c>
      <c r="C947" s="60">
        <v>200</v>
      </c>
      <c r="D947" s="60">
        <v>0</v>
      </c>
      <c r="E947" s="60">
        <f t="shared" si="14"/>
        <v>0</v>
      </c>
    </row>
    <row r="948" spans="1:5" x14ac:dyDescent="0.25">
      <c r="A948" s="60">
        <v>171</v>
      </c>
      <c r="B948" s="60" t="s">
        <v>119</v>
      </c>
      <c r="C948" s="60">
        <v>210</v>
      </c>
      <c r="D948" s="60">
        <v>0</v>
      </c>
      <c r="E948" s="60">
        <f t="shared" si="14"/>
        <v>0</v>
      </c>
    </row>
    <row r="949" spans="1:5" x14ac:dyDescent="0.25">
      <c r="A949" s="60">
        <v>171</v>
      </c>
      <c r="B949" s="60" t="s">
        <v>119</v>
      </c>
      <c r="C949" s="60">
        <v>220</v>
      </c>
      <c r="D949" s="60">
        <v>0</v>
      </c>
      <c r="E949" s="60">
        <f t="shared" si="14"/>
        <v>0</v>
      </c>
    </row>
    <row r="950" spans="1:5" x14ac:dyDescent="0.25">
      <c r="A950" s="60">
        <v>171</v>
      </c>
      <c r="B950" s="60" t="s">
        <v>119</v>
      </c>
      <c r="C950" s="60">
        <v>230</v>
      </c>
      <c r="D950" s="60">
        <v>0</v>
      </c>
      <c r="E950" s="60">
        <f t="shared" si="14"/>
        <v>0</v>
      </c>
    </row>
    <row r="951" spans="1:5" x14ac:dyDescent="0.25">
      <c r="A951" s="60">
        <v>171</v>
      </c>
      <c r="B951" s="60" t="s">
        <v>119</v>
      </c>
      <c r="C951" s="60">
        <v>298</v>
      </c>
      <c r="D951" s="60">
        <v>0</v>
      </c>
      <c r="E951" s="60">
        <f t="shared" si="14"/>
        <v>0</v>
      </c>
    </row>
    <row r="952" spans="1:5" x14ac:dyDescent="0.25">
      <c r="A952" s="60">
        <v>171</v>
      </c>
      <c r="B952" s="60" t="s">
        <v>120</v>
      </c>
      <c r="C952" s="60">
        <v>1</v>
      </c>
      <c r="D952" s="60">
        <v>0</v>
      </c>
      <c r="E952" s="60">
        <f t="shared" si="14"/>
        <v>0</v>
      </c>
    </row>
    <row r="953" spans="1:5" x14ac:dyDescent="0.25">
      <c r="A953" s="60">
        <v>171</v>
      </c>
      <c r="B953" s="60" t="s">
        <v>120</v>
      </c>
      <c r="C953" s="60">
        <v>10</v>
      </c>
      <c r="D953" s="60">
        <v>0</v>
      </c>
      <c r="E953" s="60">
        <f t="shared" si="14"/>
        <v>0</v>
      </c>
    </row>
    <row r="954" spans="1:5" x14ac:dyDescent="0.25">
      <c r="A954" s="60">
        <v>171</v>
      </c>
      <c r="B954" s="60" t="s">
        <v>120</v>
      </c>
      <c r="C954" s="60">
        <v>20</v>
      </c>
      <c r="D954" s="60">
        <v>0</v>
      </c>
      <c r="E954" s="60">
        <f t="shared" si="14"/>
        <v>0</v>
      </c>
    </row>
    <row r="955" spans="1:5" x14ac:dyDescent="0.25">
      <c r="A955" s="60">
        <v>171</v>
      </c>
      <c r="B955" s="60" t="s">
        <v>120</v>
      </c>
      <c r="C955" s="60">
        <v>50</v>
      </c>
      <c r="D955" s="60">
        <v>0</v>
      </c>
      <c r="E955" s="60">
        <f t="shared" si="14"/>
        <v>0</v>
      </c>
    </row>
    <row r="956" spans="1:5" x14ac:dyDescent="0.25">
      <c r="A956" s="60">
        <v>171</v>
      </c>
      <c r="B956" s="60" t="s">
        <v>120</v>
      </c>
      <c r="C956" s="60">
        <v>110</v>
      </c>
      <c r="D956" s="60">
        <v>0</v>
      </c>
      <c r="E956" s="60">
        <f t="shared" si="14"/>
        <v>0</v>
      </c>
    </row>
    <row r="957" spans="1:5" x14ac:dyDescent="0.25">
      <c r="A957" s="60">
        <v>171</v>
      </c>
      <c r="B957" s="60" t="s">
        <v>120</v>
      </c>
      <c r="C957" s="60">
        <v>120</v>
      </c>
      <c r="D957" s="60">
        <v>0</v>
      </c>
      <c r="E957" s="60">
        <f t="shared" si="14"/>
        <v>0</v>
      </c>
    </row>
    <row r="958" spans="1:5" x14ac:dyDescent="0.25">
      <c r="A958" s="60">
        <v>171</v>
      </c>
      <c r="B958" s="60" t="s">
        <v>120</v>
      </c>
      <c r="C958" s="60">
        <v>130</v>
      </c>
      <c r="D958" s="60">
        <v>0</v>
      </c>
      <c r="E958" s="60">
        <f t="shared" si="14"/>
        <v>0</v>
      </c>
    </row>
    <row r="959" spans="1:5" x14ac:dyDescent="0.25">
      <c r="A959" s="60">
        <v>171</v>
      </c>
      <c r="B959" s="60" t="s">
        <v>120</v>
      </c>
      <c r="C959" s="60">
        <v>140</v>
      </c>
      <c r="D959" s="60">
        <v>0</v>
      </c>
      <c r="E959" s="60">
        <f t="shared" si="14"/>
        <v>0</v>
      </c>
    </row>
    <row r="960" spans="1:5" x14ac:dyDescent="0.25">
      <c r="A960" s="60">
        <v>171</v>
      </c>
      <c r="B960" s="60" t="s">
        <v>120</v>
      </c>
      <c r="C960" s="60">
        <v>220</v>
      </c>
      <c r="D960" s="60">
        <v>0</v>
      </c>
      <c r="E960" s="60">
        <f t="shared" si="14"/>
        <v>0</v>
      </c>
    </row>
    <row r="961" spans="1:5" x14ac:dyDescent="0.25">
      <c r="A961" s="60">
        <v>171</v>
      </c>
      <c r="B961" s="60" t="s">
        <v>121</v>
      </c>
      <c r="C961" s="60">
        <v>1</v>
      </c>
      <c r="D961" s="60">
        <v>0</v>
      </c>
      <c r="E961" s="60">
        <f t="shared" si="14"/>
        <v>0</v>
      </c>
    </row>
    <row r="962" spans="1:5" x14ac:dyDescent="0.25">
      <c r="A962" s="60">
        <v>171</v>
      </c>
      <c r="B962" s="60" t="s">
        <v>121</v>
      </c>
      <c r="C962" s="60">
        <v>10</v>
      </c>
      <c r="D962" s="60">
        <v>0</v>
      </c>
      <c r="E962" s="60">
        <f t="shared" ref="E962:E1025" si="15">IF(C962&lt;100,D962,D962*-1)</f>
        <v>0</v>
      </c>
    </row>
    <row r="963" spans="1:5" x14ac:dyDescent="0.25">
      <c r="A963" s="60">
        <v>171</v>
      </c>
      <c r="B963" s="60" t="s">
        <v>121</v>
      </c>
      <c r="C963" s="60">
        <v>20</v>
      </c>
      <c r="D963" s="60">
        <v>0</v>
      </c>
      <c r="E963" s="60">
        <f t="shared" si="15"/>
        <v>0</v>
      </c>
    </row>
    <row r="964" spans="1:5" x14ac:dyDescent="0.25">
      <c r="A964" s="60">
        <v>171</v>
      </c>
      <c r="B964" s="60" t="s">
        <v>121</v>
      </c>
      <c r="C964" s="60">
        <v>50</v>
      </c>
      <c r="D964" s="60">
        <v>0</v>
      </c>
      <c r="E964" s="60">
        <f t="shared" si="15"/>
        <v>0</v>
      </c>
    </row>
    <row r="965" spans="1:5" x14ac:dyDescent="0.25">
      <c r="A965" s="60">
        <v>171</v>
      </c>
      <c r="B965" s="60" t="s">
        <v>121</v>
      </c>
      <c r="C965" s="60">
        <v>70</v>
      </c>
      <c r="D965" s="60">
        <v>0</v>
      </c>
      <c r="E965" s="60">
        <f t="shared" si="15"/>
        <v>0</v>
      </c>
    </row>
    <row r="966" spans="1:5" x14ac:dyDescent="0.25">
      <c r="A966" s="60">
        <v>171</v>
      </c>
      <c r="B966" s="60" t="s">
        <v>121</v>
      </c>
      <c r="C966" s="60">
        <v>110</v>
      </c>
      <c r="D966" s="60">
        <v>0</v>
      </c>
      <c r="E966" s="60">
        <f t="shared" si="15"/>
        <v>0</v>
      </c>
    </row>
    <row r="967" spans="1:5" x14ac:dyDescent="0.25">
      <c r="A967" s="60">
        <v>171</v>
      </c>
      <c r="B967" s="60" t="s">
        <v>121</v>
      </c>
      <c r="C967" s="60">
        <v>140</v>
      </c>
      <c r="D967" s="60">
        <v>0</v>
      </c>
      <c r="E967" s="60">
        <f t="shared" si="15"/>
        <v>0</v>
      </c>
    </row>
    <row r="968" spans="1:5" x14ac:dyDescent="0.25">
      <c r="A968" s="60">
        <v>171</v>
      </c>
      <c r="B968" s="60" t="s">
        <v>121</v>
      </c>
      <c r="C968" s="60">
        <v>210</v>
      </c>
      <c r="D968" s="60">
        <v>0</v>
      </c>
      <c r="E968" s="60">
        <f t="shared" si="15"/>
        <v>0</v>
      </c>
    </row>
    <row r="969" spans="1:5" x14ac:dyDescent="0.25">
      <c r="A969" s="60">
        <v>181</v>
      </c>
      <c r="B969" s="60" t="s">
        <v>117</v>
      </c>
      <c r="C969" s="60">
        <v>1</v>
      </c>
      <c r="D969" s="60">
        <v>7110416</v>
      </c>
      <c r="E969" s="60">
        <f t="shared" si="15"/>
        <v>7110416</v>
      </c>
    </row>
    <row r="970" spans="1:5" x14ac:dyDescent="0.25">
      <c r="A970" s="60">
        <v>181</v>
      </c>
      <c r="B970" s="60" t="s">
        <v>117</v>
      </c>
      <c r="C970" s="60">
        <v>10</v>
      </c>
      <c r="D970" s="60">
        <v>8760</v>
      </c>
      <c r="E970" s="60">
        <f t="shared" si="15"/>
        <v>8760</v>
      </c>
    </row>
    <row r="971" spans="1:5" x14ac:dyDescent="0.25">
      <c r="A971" s="60">
        <v>181</v>
      </c>
      <c r="B971" s="60" t="s">
        <v>117</v>
      </c>
      <c r="C971" s="60">
        <v>20</v>
      </c>
      <c r="D971" s="60">
        <v>0</v>
      </c>
      <c r="E971" s="60">
        <f t="shared" si="15"/>
        <v>0</v>
      </c>
    </row>
    <row r="972" spans="1:5" x14ac:dyDescent="0.25">
      <c r="A972" s="60">
        <v>181</v>
      </c>
      <c r="B972" s="60" t="s">
        <v>117</v>
      </c>
      <c r="C972" s="60">
        <v>50</v>
      </c>
      <c r="D972" s="60">
        <v>12459100</v>
      </c>
      <c r="E972" s="60">
        <f t="shared" si="15"/>
        <v>12459100</v>
      </c>
    </row>
    <row r="973" spans="1:5" x14ac:dyDescent="0.25">
      <c r="A973" s="60">
        <v>181</v>
      </c>
      <c r="B973" s="60" t="s">
        <v>117</v>
      </c>
      <c r="C973" s="60">
        <v>70</v>
      </c>
      <c r="D973" s="60">
        <v>-64971</v>
      </c>
      <c r="E973" s="60">
        <f t="shared" si="15"/>
        <v>-64971</v>
      </c>
    </row>
    <row r="974" spans="1:5" x14ac:dyDescent="0.25">
      <c r="A974" s="60">
        <v>181</v>
      </c>
      <c r="B974" s="60" t="s">
        <v>117</v>
      </c>
      <c r="C974" s="60">
        <v>100</v>
      </c>
      <c r="D974" s="60">
        <v>0</v>
      </c>
      <c r="E974" s="60">
        <f t="shared" si="15"/>
        <v>0</v>
      </c>
    </row>
    <row r="975" spans="1:5" x14ac:dyDescent="0.25">
      <c r="A975" s="60">
        <v>181</v>
      </c>
      <c r="B975" s="60" t="s">
        <v>117</v>
      </c>
      <c r="C975" s="60">
        <v>110</v>
      </c>
      <c r="D975" s="60">
        <v>0</v>
      </c>
      <c r="E975" s="60">
        <f t="shared" si="15"/>
        <v>0</v>
      </c>
    </row>
    <row r="976" spans="1:5" x14ac:dyDescent="0.25">
      <c r="A976" s="60">
        <v>181</v>
      </c>
      <c r="B976" s="60" t="s">
        <v>117</v>
      </c>
      <c r="C976" s="60">
        <v>130</v>
      </c>
      <c r="D976" s="60">
        <v>0</v>
      </c>
      <c r="E976" s="60">
        <f t="shared" si="15"/>
        <v>0</v>
      </c>
    </row>
    <row r="977" spans="1:5" x14ac:dyDescent="0.25">
      <c r="A977" s="60">
        <v>181</v>
      </c>
      <c r="B977" s="60" t="s">
        <v>117</v>
      </c>
      <c r="C977" s="60">
        <v>140</v>
      </c>
      <c r="D977" s="60">
        <v>0</v>
      </c>
      <c r="E977" s="60">
        <f t="shared" si="15"/>
        <v>0</v>
      </c>
    </row>
    <row r="978" spans="1:5" x14ac:dyDescent="0.25">
      <c r="A978" s="60">
        <v>181</v>
      </c>
      <c r="B978" s="60" t="s">
        <v>117</v>
      </c>
      <c r="C978" s="60">
        <v>141</v>
      </c>
      <c r="D978" s="60">
        <v>7394960</v>
      </c>
      <c r="E978" s="60">
        <f t="shared" si="15"/>
        <v>-7394960</v>
      </c>
    </row>
    <row r="979" spans="1:5" x14ac:dyDescent="0.25">
      <c r="A979" s="60">
        <v>181</v>
      </c>
      <c r="B979" s="60" t="s">
        <v>117</v>
      </c>
      <c r="C979" s="60">
        <v>200</v>
      </c>
      <c r="D979" s="60">
        <v>0</v>
      </c>
      <c r="E979" s="60">
        <f t="shared" si="15"/>
        <v>0</v>
      </c>
    </row>
    <row r="980" spans="1:5" x14ac:dyDescent="0.25">
      <c r="A980" s="60">
        <v>181</v>
      </c>
      <c r="B980" s="60" t="s">
        <v>117</v>
      </c>
      <c r="C980" s="60">
        <v>210</v>
      </c>
      <c r="D980" s="60">
        <v>98011</v>
      </c>
      <c r="E980" s="60">
        <f t="shared" si="15"/>
        <v>-98011</v>
      </c>
    </row>
    <row r="981" spans="1:5" x14ac:dyDescent="0.25">
      <c r="A981" s="60">
        <v>181</v>
      </c>
      <c r="B981" s="60" t="s">
        <v>117</v>
      </c>
      <c r="C981" s="60">
        <v>220</v>
      </c>
      <c r="D981" s="60">
        <v>0</v>
      </c>
      <c r="E981" s="60">
        <f t="shared" si="15"/>
        <v>0</v>
      </c>
    </row>
    <row r="982" spans="1:5" x14ac:dyDescent="0.25">
      <c r="A982" s="60">
        <v>181</v>
      </c>
      <c r="B982" s="60" t="s">
        <v>117</v>
      </c>
      <c r="C982" s="60">
        <v>230</v>
      </c>
      <c r="D982" s="60">
        <v>0</v>
      </c>
      <c r="E982" s="60">
        <f t="shared" si="15"/>
        <v>0</v>
      </c>
    </row>
    <row r="983" spans="1:5" x14ac:dyDescent="0.25">
      <c r="A983" s="60">
        <v>181</v>
      </c>
      <c r="B983" s="60" t="s">
        <v>117</v>
      </c>
      <c r="C983" s="60">
        <v>298</v>
      </c>
      <c r="D983" s="60">
        <v>0</v>
      </c>
      <c r="E983" s="60">
        <f t="shared" si="15"/>
        <v>0</v>
      </c>
    </row>
    <row r="984" spans="1:5" x14ac:dyDescent="0.25">
      <c r="A984" s="60">
        <v>181</v>
      </c>
      <c r="B984" s="60" t="s">
        <v>118</v>
      </c>
      <c r="C984" s="60">
        <v>1</v>
      </c>
      <c r="D984" s="60">
        <v>0</v>
      </c>
      <c r="E984" s="60">
        <f t="shared" si="15"/>
        <v>0</v>
      </c>
    </row>
    <row r="985" spans="1:5" x14ac:dyDescent="0.25">
      <c r="A985" s="60">
        <v>181</v>
      </c>
      <c r="B985" s="60" t="s">
        <v>118</v>
      </c>
      <c r="C985" s="60">
        <v>50</v>
      </c>
      <c r="D985" s="60">
        <v>0</v>
      </c>
      <c r="E985" s="60">
        <f t="shared" si="15"/>
        <v>0</v>
      </c>
    </row>
    <row r="986" spans="1:5" x14ac:dyDescent="0.25">
      <c r="A986" s="60">
        <v>181</v>
      </c>
      <c r="B986" s="60" t="s">
        <v>118</v>
      </c>
      <c r="C986" s="60">
        <v>70</v>
      </c>
      <c r="D986" s="60">
        <v>0</v>
      </c>
      <c r="E986" s="60">
        <f t="shared" si="15"/>
        <v>0</v>
      </c>
    </row>
    <row r="987" spans="1:5" x14ac:dyDescent="0.25">
      <c r="A987" s="60">
        <v>181</v>
      </c>
      <c r="B987" s="60" t="s">
        <v>118</v>
      </c>
      <c r="C987" s="60">
        <v>110</v>
      </c>
      <c r="D987" s="60">
        <v>0</v>
      </c>
      <c r="E987" s="60">
        <f t="shared" si="15"/>
        <v>0</v>
      </c>
    </row>
    <row r="988" spans="1:5" x14ac:dyDescent="0.25">
      <c r="A988" s="60">
        <v>181</v>
      </c>
      <c r="B988" s="60" t="s">
        <v>118</v>
      </c>
      <c r="C988" s="60">
        <v>140</v>
      </c>
      <c r="D988" s="60">
        <v>0</v>
      </c>
      <c r="E988" s="60">
        <f t="shared" si="15"/>
        <v>0</v>
      </c>
    </row>
    <row r="989" spans="1:5" x14ac:dyDescent="0.25">
      <c r="A989" s="60">
        <v>181</v>
      </c>
      <c r="B989" s="60" t="s">
        <v>118</v>
      </c>
      <c r="C989" s="60">
        <v>220</v>
      </c>
      <c r="D989" s="60">
        <v>0</v>
      </c>
      <c r="E989" s="60">
        <f t="shared" si="15"/>
        <v>0</v>
      </c>
    </row>
    <row r="990" spans="1:5" x14ac:dyDescent="0.25">
      <c r="A990" s="60">
        <v>181</v>
      </c>
      <c r="B990" s="60" t="s">
        <v>119</v>
      </c>
      <c r="C990" s="60">
        <v>1</v>
      </c>
      <c r="D990" s="60">
        <v>0</v>
      </c>
      <c r="E990" s="60">
        <f t="shared" si="15"/>
        <v>0</v>
      </c>
    </row>
    <row r="991" spans="1:5" x14ac:dyDescent="0.25">
      <c r="A991" s="60">
        <v>181</v>
      </c>
      <c r="B991" s="60" t="s">
        <v>119</v>
      </c>
      <c r="C991" s="60">
        <v>10</v>
      </c>
      <c r="D991" s="60">
        <v>0</v>
      </c>
      <c r="E991" s="60">
        <f t="shared" si="15"/>
        <v>0</v>
      </c>
    </row>
    <row r="992" spans="1:5" x14ac:dyDescent="0.25">
      <c r="A992" s="60">
        <v>181</v>
      </c>
      <c r="B992" s="60" t="s">
        <v>119</v>
      </c>
      <c r="C992" s="60">
        <v>20</v>
      </c>
      <c r="D992" s="60">
        <v>0</v>
      </c>
      <c r="E992" s="60">
        <f t="shared" si="15"/>
        <v>0</v>
      </c>
    </row>
    <row r="993" spans="1:5" x14ac:dyDescent="0.25">
      <c r="A993" s="60">
        <v>181</v>
      </c>
      <c r="B993" s="60" t="s">
        <v>119</v>
      </c>
      <c r="C993" s="60">
        <v>50</v>
      </c>
      <c r="D993" s="60">
        <v>0</v>
      </c>
      <c r="E993" s="60">
        <f t="shared" si="15"/>
        <v>0</v>
      </c>
    </row>
    <row r="994" spans="1:5" x14ac:dyDescent="0.25">
      <c r="A994" s="60">
        <v>181</v>
      </c>
      <c r="B994" s="60" t="s">
        <v>119</v>
      </c>
      <c r="C994" s="60">
        <v>70</v>
      </c>
      <c r="D994" s="60">
        <v>0</v>
      </c>
      <c r="E994" s="60">
        <f t="shared" si="15"/>
        <v>0</v>
      </c>
    </row>
    <row r="995" spans="1:5" x14ac:dyDescent="0.25">
      <c r="A995" s="60">
        <v>181</v>
      </c>
      <c r="B995" s="60" t="s">
        <v>119</v>
      </c>
      <c r="C995" s="60">
        <v>110</v>
      </c>
      <c r="D995" s="60">
        <v>0</v>
      </c>
      <c r="E995" s="60">
        <f t="shared" si="15"/>
        <v>0</v>
      </c>
    </row>
    <row r="996" spans="1:5" x14ac:dyDescent="0.25">
      <c r="A996" s="60">
        <v>181</v>
      </c>
      <c r="B996" s="60" t="s">
        <v>119</v>
      </c>
      <c r="C996" s="60">
        <v>140</v>
      </c>
      <c r="D996" s="60">
        <v>0</v>
      </c>
      <c r="E996" s="60">
        <f t="shared" si="15"/>
        <v>0</v>
      </c>
    </row>
    <row r="997" spans="1:5" x14ac:dyDescent="0.25">
      <c r="A997" s="60">
        <v>181</v>
      </c>
      <c r="B997" s="60" t="s">
        <v>119</v>
      </c>
      <c r="C997" s="60">
        <v>200</v>
      </c>
      <c r="D997" s="60">
        <v>0</v>
      </c>
      <c r="E997" s="60">
        <f t="shared" si="15"/>
        <v>0</v>
      </c>
    </row>
    <row r="998" spans="1:5" x14ac:dyDescent="0.25">
      <c r="A998" s="60">
        <v>181</v>
      </c>
      <c r="B998" s="60" t="s">
        <v>119</v>
      </c>
      <c r="C998" s="60">
        <v>220</v>
      </c>
      <c r="D998" s="60">
        <v>0</v>
      </c>
      <c r="E998" s="60">
        <f t="shared" si="15"/>
        <v>0</v>
      </c>
    </row>
    <row r="999" spans="1:5" x14ac:dyDescent="0.25">
      <c r="A999" s="60">
        <v>181</v>
      </c>
      <c r="B999" s="60" t="s">
        <v>119</v>
      </c>
      <c r="C999" s="60">
        <v>230</v>
      </c>
      <c r="D999" s="60">
        <v>0</v>
      </c>
      <c r="E999" s="60">
        <f t="shared" si="15"/>
        <v>0</v>
      </c>
    </row>
    <row r="1000" spans="1:5" x14ac:dyDescent="0.25">
      <c r="A1000" s="60">
        <v>181</v>
      </c>
      <c r="B1000" s="60" t="s">
        <v>120</v>
      </c>
      <c r="C1000" s="60">
        <v>1</v>
      </c>
      <c r="D1000" s="60">
        <v>0</v>
      </c>
      <c r="E1000" s="60">
        <f t="shared" si="15"/>
        <v>0</v>
      </c>
    </row>
    <row r="1001" spans="1:5" x14ac:dyDescent="0.25">
      <c r="A1001" s="60">
        <v>181</v>
      </c>
      <c r="B1001" s="60" t="s">
        <v>120</v>
      </c>
      <c r="C1001" s="60">
        <v>10</v>
      </c>
      <c r="D1001" s="60">
        <v>0</v>
      </c>
      <c r="E1001" s="60">
        <f t="shared" si="15"/>
        <v>0</v>
      </c>
    </row>
    <row r="1002" spans="1:5" x14ac:dyDescent="0.25">
      <c r="A1002" s="60">
        <v>181</v>
      </c>
      <c r="B1002" s="60" t="s">
        <v>120</v>
      </c>
      <c r="C1002" s="60">
        <v>20</v>
      </c>
      <c r="D1002" s="60">
        <v>0</v>
      </c>
      <c r="E1002" s="60">
        <f t="shared" si="15"/>
        <v>0</v>
      </c>
    </row>
    <row r="1003" spans="1:5" x14ac:dyDescent="0.25">
      <c r="A1003" s="60">
        <v>181</v>
      </c>
      <c r="B1003" s="60" t="s">
        <v>120</v>
      </c>
      <c r="C1003" s="60">
        <v>50</v>
      </c>
      <c r="D1003" s="60">
        <v>0</v>
      </c>
      <c r="E1003" s="60">
        <f t="shared" si="15"/>
        <v>0</v>
      </c>
    </row>
    <row r="1004" spans="1:5" x14ac:dyDescent="0.25">
      <c r="A1004" s="60">
        <v>181</v>
      </c>
      <c r="B1004" s="60" t="s">
        <v>120</v>
      </c>
      <c r="C1004" s="60">
        <v>110</v>
      </c>
      <c r="D1004" s="60">
        <v>0</v>
      </c>
      <c r="E1004" s="60">
        <f t="shared" si="15"/>
        <v>0</v>
      </c>
    </row>
    <row r="1005" spans="1:5" x14ac:dyDescent="0.25">
      <c r="A1005" s="60">
        <v>181</v>
      </c>
      <c r="B1005" s="60" t="s">
        <v>120</v>
      </c>
      <c r="C1005" s="60">
        <v>140</v>
      </c>
      <c r="D1005" s="60">
        <v>0</v>
      </c>
      <c r="E1005" s="60">
        <f t="shared" si="15"/>
        <v>0</v>
      </c>
    </row>
    <row r="1006" spans="1:5" x14ac:dyDescent="0.25">
      <c r="A1006" s="60">
        <v>181</v>
      </c>
      <c r="B1006" s="60" t="s">
        <v>120</v>
      </c>
      <c r="C1006" s="60">
        <v>200</v>
      </c>
      <c r="D1006" s="60">
        <v>0</v>
      </c>
      <c r="E1006" s="60">
        <f t="shared" si="15"/>
        <v>0</v>
      </c>
    </row>
    <row r="1007" spans="1:5" x14ac:dyDescent="0.25">
      <c r="A1007" s="60">
        <v>181</v>
      </c>
      <c r="B1007" s="60" t="s">
        <v>120</v>
      </c>
      <c r="C1007" s="60">
        <v>220</v>
      </c>
      <c r="D1007" s="60">
        <v>0</v>
      </c>
      <c r="E1007" s="60">
        <f t="shared" si="15"/>
        <v>0</v>
      </c>
    </row>
    <row r="1008" spans="1:5" x14ac:dyDescent="0.25">
      <c r="A1008" s="60">
        <v>181</v>
      </c>
      <c r="B1008" s="60" t="s">
        <v>121</v>
      </c>
      <c r="C1008" s="60">
        <v>1</v>
      </c>
      <c r="D1008" s="60">
        <v>0</v>
      </c>
      <c r="E1008" s="60">
        <f t="shared" si="15"/>
        <v>0</v>
      </c>
    </row>
    <row r="1009" spans="1:5" x14ac:dyDescent="0.25">
      <c r="A1009" s="60">
        <v>181</v>
      </c>
      <c r="B1009" s="60" t="s">
        <v>121</v>
      </c>
      <c r="C1009" s="60">
        <v>10</v>
      </c>
      <c r="D1009" s="60">
        <v>0</v>
      </c>
      <c r="E1009" s="60">
        <f t="shared" si="15"/>
        <v>0</v>
      </c>
    </row>
    <row r="1010" spans="1:5" x14ac:dyDescent="0.25">
      <c r="A1010" s="60">
        <v>181</v>
      </c>
      <c r="B1010" s="60" t="s">
        <v>121</v>
      </c>
      <c r="C1010" s="60">
        <v>50</v>
      </c>
      <c r="D1010" s="60">
        <v>0</v>
      </c>
      <c r="E1010" s="60">
        <f t="shared" si="15"/>
        <v>0</v>
      </c>
    </row>
    <row r="1011" spans="1:5" x14ac:dyDescent="0.25">
      <c r="A1011" s="60">
        <v>181</v>
      </c>
      <c r="B1011" s="60" t="s">
        <v>121</v>
      </c>
      <c r="C1011" s="60">
        <v>70</v>
      </c>
      <c r="D1011" s="60">
        <v>0</v>
      </c>
      <c r="E1011" s="60">
        <f t="shared" si="15"/>
        <v>0</v>
      </c>
    </row>
    <row r="1012" spans="1:5" x14ac:dyDescent="0.25">
      <c r="A1012" s="60">
        <v>181</v>
      </c>
      <c r="B1012" s="60" t="s">
        <v>121</v>
      </c>
      <c r="C1012" s="60">
        <v>110</v>
      </c>
      <c r="D1012" s="60">
        <v>0</v>
      </c>
      <c r="E1012" s="60">
        <f t="shared" si="15"/>
        <v>0</v>
      </c>
    </row>
    <row r="1013" spans="1:5" x14ac:dyDescent="0.25">
      <c r="A1013" s="60">
        <v>181</v>
      </c>
      <c r="B1013" s="60" t="s">
        <v>121</v>
      </c>
      <c r="C1013" s="60">
        <v>210</v>
      </c>
      <c r="D1013" s="60">
        <v>0</v>
      </c>
      <c r="E1013" s="60">
        <f t="shared" si="15"/>
        <v>0</v>
      </c>
    </row>
    <row r="1014" spans="1:5" x14ac:dyDescent="0.25">
      <c r="A1014" s="60">
        <v>181</v>
      </c>
      <c r="B1014" s="60" t="s">
        <v>121</v>
      </c>
      <c r="C1014" s="60">
        <v>220</v>
      </c>
      <c r="D1014" s="60">
        <v>0</v>
      </c>
      <c r="E1014" s="60">
        <f t="shared" si="15"/>
        <v>0</v>
      </c>
    </row>
    <row r="1015" spans="1:5" x14ac:dyDescent="0.25">
      <c r="A1015" s="60">
        <v>182</v>
      </c>
      <c r="B1015" s="60" t="s">
        <v>117</v>
      </c>
      <c r="C1015" s="60">
        <v>1</v>
      </c>
      <c r="D1015" s="60">
        <v>19239164</v>
      </c>
      <c r="E1015" s="60">
        <f t="shared" si="15"/>
        <v>19239164</v>
      </c>
    </row>
    <row r="1016" spans="1:5" x14ac:dyDescent="0.25">
      <c r="A1016" s="60">
        <v>182</v>
      </c>
      <c r="B1016" s="60" t="s">
        <v>117</v>
      </c>
      <c r="C1016" s="60">
        <v>10</v>
      </c>
      <c r="D1016" s="60">
        <v>186780</v>
      </c>
      <c r="E1016" s="60">
        <f t="shared" si="15"/>
        <v>186780</v>
      </c>
    </row>
    <row r="1017" spans="1:5" x14ac:dyDescent="0.25">
      <c r="A1017" s="60">
        <v>182</v>
      </c>
      <c r="B1017" s="60" t="s">
        <v>117</v>
      </c>
      <c r="C1017" s="60">
        <v>20</v>
      </c>
      <c r="D1017" s="60">
        <v>0</v>
      </c>
      <c r="E1017" s="60">
        <f t="shared" si="15"/>
        <v>0</v>
      </c>
    </row>
    <row r="1018" spans="1:5" x14ac:dyDescent="0.25">
      <c r="A1018" s="60">
        <v>182</v>
      </c>
      <c r="B1018" s="60" t="s">
        <v>117</v>
      </c>
      <c r="C1018" s="60">
        <v>30</v>
      </c>
      <c r="D1018" s="60">
        <v>0</v>
      </c>
      <c r="E1018" s="60">
        <f t="shared" si="15"/>
        <v>0</v>
      </c>
    </row>
    <row r="1019" spans="1:5" x14ac:dyDescent="0.25">
      <c r="A1019" s="60">
        <v>182</v>
      </c>
      <c r="B1019" s="60" t="s">
        <v>117</v>
      </c>
      <c r="C1019" s="60">
        <v>50</v>
      </c>
      <c r="D1019" s="60">
        <v>21307780</v>
      </c>
      <c r="E1019" s="60">
        <f t="shared" si="15"/>
        <v>21307780</v>
      </c>
    </row>
    <row r="1020" spans="1:5" x14ac:dyDescent="0.25">
      <c r="A1020" s="60">
        <v>182</v>
      </c>
      <c r="B1020" s="60" t="s">
        <v>117</v>
      </c>
      <c r="C1020" s="60">
        <v>70</v>
      </c>
      <c r="D1020" s="60">
        <v>-32054</v>
      </c>
      <c r="E1020" s="60">
        <f t="shared" si="15"/>
        <v>-32054</v>
      </c>
    </row>
    <row r="1021" spans="1:5" x14ac:dyDescent="0.25">
      <c r="A1021" s="60">
        <v>182</v>
      </c>
      <c r="B1021" s="60" t="s">
        <v>117</v>
      </c>
      <c r="C1021" s="60">
        <v>110</v>
      </c>
      <c r="D1021" s="60">
        <v>10025340</v>
      </c>
      <c r="E1021" s="60">
        <f t="shared" si="15"/>
        <v>-10025340</v>
      </c>
    </row>
    <row r="1022" spans="1:5" x14ac:dyDescent="0.25">
      <c r="A1022" s="60">
        <v>182</v>
      </c>
      <c r="B1022" s="60" t="s">
        <v>117</v>
      </c>
      <c r="C1022" s="60">
        <v>140</v>
      </c>
      <c r="D1022" s="60">
        <v>1580</v>
      </c>
      <c r="E1022" s="60">
        <f t="shared" si="15"/>
        <v>-1580</v>
      </c>
    </row>
    <row r="1023" spans="1:5" x14ac:dyDescent="0.25">
      <c r="A1023" s="60">
        <v>182</v>
      </c>
      <c r="B1023" s="60" t="s">
        <v>117</v>
      </c>
      <c r="C1023" s="60">
        <v>141</v>
      </c>
      <c r="D1023" s="60">
        <v>10547820</v>
      </c>
      <c r="E1023" s="60">
        <f t="shared" si="15"/>
        <v>-10547820</v>
      </c>
    </row>
    <row r="1024" spans="1:5" x14ac:dyDescent="0.25">
      <c r="A1024" s="60">
        <v>182</v>
      </c>
      <c r="B1024" s="60" t="s">
        <v>117</v>
      </c>
      <c r="C1024" s="60">
        <v>200</v>
      </c>
      <c r="D1024" s="60">
        <v>0</v>
      </c>
      <c r="E1024" s="60">
        <f t="shared" si="15"/>
        <v>0</v>
      </c>
    </row>
    <row r="1025" spans="1:5" x14ac:dyDescent="0.25">
      <c r="A1025" s="60">
        <v>182</v>
      </c>
      <c r="B1025" s="60" t="s">
        <v>117</v>
      </c>
      <c r="C1025" s="60">
        <v>210</v>
      </c>
      <c r="D1025" s="60">
        <v>218830</v>
      </c>
      <c r="E1025" s="60">
        <f t="shared" si="15"/>
        <v>-218830</v>
      </c>
    </row>
    <row r="1026" spans="1:5" x14ac:dyDescent="0.25">
      <c r="A1026" s="60">
        <v>182</v>
      </c>
      <c r="B1026" s="60" t="s">
        <v>117</v>
      </c>
      <c r="C1026" s="60">
        <v>220</v>
      </c>
      <c r="D1026" s="60">
        <v>0</v>
      </c>
      <c r="E1026" s="60">
        <f t="shared" ref="E1026:E1089" si="16">IF(C1026&lt;100,D1026,D1026*-1)</f>
        <v>0</v>
      </c>
    </row>
    <row r="1027" spans="1:5" x14ac:dyDescent="0.25">
      <c r="A1027" s="60">
        <v>182</v>
      </c>
      <c r="B1027" s="60" t="s">
        <v>117</v>
      </c>
      <c r="C1027" s="60">
        <v>230</v>
      </c>
      <c r="D1027" s="60">
        <v>0</v>
      </c>
      <c r="E1027" s="60">
        <f t="shared" si="16"/>
        <v>0</v>
      </c>
    </row>
    <row r="1028" spans="1:5" x14ac:dyDescent="0.25">
      <c r="A1028" s="60">
        <v>182</v>
      </c>
      <c r="B1028" s="60" t="s">
        <v>117</v>
      </c>
      <c r="C1028" s="60">
        <v>298</v>
      </c>
      <c r="D1028" s="60">
        <v>0</v>
      </c>
      <c r="E1028" s="60">
        <f t="shared" si="16"/>
        <v>0</v>
      </c>
    </row>
    <row r="1029" spans="1:5" x14ac:dyDescent="0.25">
      <c r="A1029" s="60">
        <v>182</v>
      </c>
      <c r="B1029" s="60" t="s">
        <v>118</v>
      </c>
      <c r="C1029" s="60">
        <v>1</v>
      </c>
      <c r="D1029" s="60">
        <v>0</v>
      </c>
      <c r="E1029" s="60">
        <f t="shared" si="16"/>
        <v>0</v>
      </c>
    </row>
    <row r="1030" spans="1:5" x14ac:dyDescent="0.25">
      <c r="A1030" s="60">
        <v>182</v>
      </c>
      <c r="B1030" s="60" t="s">
        <v>118</v>
      </c>
      <c r="C1030" s="60">
        <v>10</v>
      </c>
      <c r="D1030" s="60">
        <v>0</v>
      </c>
      <c r="E1030" s="60">
        <f t="shared" si="16"/>
        <v>0</v>
      </c>
    </row>
    <row r="1031" spans="1:5" x14ac:dyDescent="0.25">
      <c r="A1031" s="60">
        <v>182</v>
      </c>
      <c r="B1031" s="60" t="s">
        <v>118</v>
      </c>
      <c r="C1031" s="60">
        <v>20</v>
      </c>
      <c r="D1031" s="60">
        <v>0</v>
      </c>
      <c r="E1031" s="60">
        <f t="shared" si="16"/>
        <v>0</v>
      </c>
    </row>
    <row r="1032" spans="1:5" x14ac:dyDescent="0.25">
      <c r="A1032" s="60">
        <v>182</v>
      </c>
      <c r="B1032" s="60" t="s">
        <v>118</v>
      </c>
      <c r="C1032" s="60">
        <v>50</v>
      </c>
      <c r="D1032" s="60">
        <v>0</v>
      </c>
      <c r="E1032" s="60">
        <f t="shared" si="16"/>
        <v>0</v>
      </c>
    </row>
    <row r="1033" spans="1:5" x14ac:dyDescent="0.25">
      <c r="A1033" s="60">
        <v>182</v>
      </c>
      <c r="B1033" s="60" t="s">
        <v>118</v>
      </c>
      <c r="C1033" s="60">
        <v>70</v>
      </c>
      <c r="D1033" s="60">
        <v>0</v>
      </c>
      <c r="E1033" s="60">
        <f t="shared" si="16"/>
        <v>0</v>
      </c>
    </row>
    <row r="1034" spans="1:5" x14ac:dyDescent="0.25">
      <c r="A1034" s="60">
        <v>182</v>
      </c>
      <c r="B1034" s="60" t="s">
        <v>118</v>
      </c>
      <c r="C1034" s="60">
        <v>110</v>
      </c>
      <c r="D1034" s="60">
        <v>0</v>
      </c>
      <c r="E1034" s="60">
        <f t="shared" si="16"/>
        <v>0</v>
      </c>
    </row>
    <row r="1035" spans="1:5" x14ac:dyDescent="0.25">
      <c r="A1035" s="60">
        <v>182</v>
      </c>
      <c r="B1035" s="60" t="s">
        <v>118</v>
      </c>
      <c r="C1035" s="60">
        <v>140</v>
      </c>
      <c r="D1035" s="60">
        <v>0</v>
      </c>
      <c r="E1035" s="60">
        <f t="shared" si="16"/>
        <v>0</v>
      </c>
    </row>
    <row r="1036" spans="1:5" x14ac:dyDescent="0.25">
      <c r="A1036" s="60">
        <v>182</v>
      </c>
      <c r="B1036" s="60" t="s">
        <v>118</v>
      </c>
      <c r="C1036" s="60">
        <v>230</v>
      </c>
      <c r="D1036" s="60">
        <v>0</v>
      </c>
      <c r="E1036" s="60">
        <f t="shared" si="16"/>
        <v>0</v>
      </c>
    </row>
    <row r="1037" spans="1:5" x14ac:dyDescent="0.25">
      <c r="A1037" s="60">
        <v>182</v>
      </c>
      <c r="B1037" s="60" t="s">
        <v>118</v>
      </c>
      <c r="C1037" s="60">
        <v>298</v>
      </c>
      <c r="D1037" s="60">
        <v>0</v>
      </c>
      <c r="E1037" s="60">
        <f t="shared" si="16"/>
        <v>0</v>
      </c>
    </row>
    <row r="1038" spans="1:5" x14ac:dyDescent="0.25">
      <c r="A1038" s="60">
        <v>182</v>
      </c>
      <c r="B1038" s="60" t="s">
        <v>119</v>
      </c>
      <c r="C1038" s="60">
        <v>1</v>
      </c>
      <c r="D1038" s="60">
        <v>0</v>
      </c>
      <c r="E1038" s="60">
        <f t="shared" si="16"/>
        <v>0</v>
      </c>
    </row>
    <row r="1039" spans="1:5" x14ac:dyDescent="0.25">
      <c r="A1039" s="60">
        <v>182</v>
      </c>
      <c r="B1039" s="60" t="s">
        <v>119</v>
      </c>
      <c r="C1039" s="60">
        <v>10</v>
      </c>
      <c r="D1039" s="60">
        <v>0</v>
      </c>
      <c r="E1039" s="60">
        <f t="shared" si="16"/>
        <v>0</v>
      </c>
    </row>
    <row r="1040" spans="1:5" x14ac:dyDescent="0.25">
      <c r="A1040" s="60">
        <v>182</v>
      </c>
      <c r="B1040" s="60" t="s">
        <v>119</v>
      </c>
      <c r="C1040" s="60">
        <v>20</v>
      </c>
      <c r="D1040" s="60">
        <v>0</v>
      </c>
      <c r="E1040" s="60">
        <f t="shared" si="16"/>
        <v>0</v>
      </c>
    </row>
    <row r="1041" spans="1:5" x14ac:dyDescent="0.25">
      <c r="A1041" s="60">
        <v>182</v>
      </c>
      <c r="B1041" s="60" t="s">
        <v>119</v>
      </c>
      <c r="C1041" s="60">
        <v>30</v>
      </c>
      <c r="D1041" s="60">
        <v>0</v>
      </c>
      <c r="E1041" s="60">
        <f t="shared" si="16"/>
        <v>0</v>
      </c>
    </row>
    <row r="1042" spans="1:5" x14ac:dyDescent="0.25">
      <c r="A1042" s="60">
        <v>182</v>
      </c>
      <c r="B1042" s="60" t="s">
        <v>119</v>
      </c>
      <c r="C1042" s="60">
        <v>50</v>
      </c>
      <c r="D1042" s="60">
        <v>0</v>
      </c>
      <c r="E1042" s="60">
        <f t="shared" si="16"/>
        <v>0</v>
      </c>
    </row>
    <row r="1043" spans="1:5" x14ac:dyDescent="0.25">
      <c r="A1043" s="60">
        <v>182</v>
      </c>
      <c r="B1043" s="60" t="s">
        <v>119</v>
      </c>
      <c r="C1043" s="60">
        <v>70</v>
      </c>
      <c r="D1043" s="60">
        <v>0</v>
      </c>
      <c r="E1043" s="60">
        <f t="shared" si="16"/>
        <v>0</v>
      </c>
    </row>
    <row r="1044" spans="1:5" x14ac:dyDescent="0.25">
      <c r="A1044" s="60">
        <v>182</v>
      </c>
      <c r="B1044" s="60" t="s">
        <v>119</v>
      </c>
      <c r="C1044" s="60">
        <v>100</v>
      </c>
      <c r="D1044" s="60">
        <v>0</v>
      </c>
      <c r="E1044" s="60">
        <f t="shared" si="16"/>
        <v>0</v>
      </c>
    </row>
    <row r="1045" spans="1:5" x14ac:dyDescent="0.25">
      <c r="A1045" s="60">
        <v>182</v>
      </c>
      <c r="B1045" s="60" t="s">
        <v>119</v>
      </c>
      <c r="C1045" s="60">
        <v>110</v>
      </c>
      <c r="D1045" s="60">
        <v>0</v>
      </c>
      <c r="E1045" s="60">
        <f t="shared" si="16"/>
        <v>0</v>
      </c>
    </row>
    <row r="1046" spans="1:5" x14ac:dyDescent="0.25">
      <c r="A1046" s="60">
        <v>182</v>
      </c>
      <c r="B1046" s="60" t="s">
        <v>119</v>
      </c>
      <c r="C1046" s="60">
        <v>140</v>
      </c>
      <c r="D1046" s="60">
        <v>0</v>
      </c>
      <c r="E1046" s="60">
        <f t="shared" si="16"/>
        <v>0</v>
      </c>
    </row>
    <row r="1047" spans="1:5" x14ac:dyDescent="0.25">
      <c r="A1047" s="60">
        <v>182</v>
      </c>
      <c r="B1047" s="60" t="s">
        <v>119</v>
      </c>
      <c r="C1047" s="60">
        <v>200</v>
      </c>
      <c r="D1047" s="60">
        <v>0</v>
      </c>
      <c r="E1047" s="60">
        <f t="shared" si="16"/>
        <v>0</v>
      </c>
    </row>
    <row r="1048" spans="1:5" x14ac:dyDescent="0.25">
      <c r="A1048" s="60">
        <v>182</v>
      </c>
      <c r="B1048" s="60" t="s">
        <v>119</v>
      </c>
      <c r="C1048" s="60">
        <v>210</v>
      </c>
      <c r="D1048" s="60">
        <v>0</v>
      </c>
      <c r="E1048" s="60">
        <f t="shared" si="16"/>
        <v>0</v>
      </c>
    </row>
    <row r="1049" spans="1:5" x14ac:dyDescent="0.25">
      <c r="A1049" s="60">
        <v>182</v>
      </c>
      <c r="B1049" s="60" t="s">
        <v>119</v>
      </c>
      <c r="C1049" s="60">
        <v>220</v>
      </c>
      <c r="D1049" s="60">
        <v>0</v>
      </c>
      <c r="E1049" s="60">
        <f t="shared" si="16"/>
        <v>0</v>
      </c>
    </row>
    <row r="1050" spans="1:5" x14ac:dyDescent="0.25">
      <c r="A1050" s="60">
        <v>182</v>
      </c>
      <c r="B1050" s="60" t="s">
        <v>119</v>
      </c>
      <c r="C1050" s="60">
        <v>230</v>
      </c>
      <c r="D1050" s="60">
        <v>0</v>
      </c>
      <c r="E1050" s="60">
        <f t="shared" si="16"/>
        <v>0</v>
      </c>
    </row>
    <row r="1051" spans="1:5" x14ac:dyDescent="0.25">
      <c r="A1051" s="60">
        <v>182</v>
      </c>
      <c r="B1051" s="60" t="s">
        <v>119</v>
      </c>
      <c r="C1051" s="60">
        <v>298</v>
      </c>
      <c r="D1051" s="60">
        <v>0</v>
      </c>
      <c r="E1051" s="60">
        <f t="shared" si="16"/>
        <v>0</v>
      </c>
    </row>
    <row r="1052" spans="1:5" x14ac:dyDescent="0.25">
      <c r="A1052" s="60">
        <v>182</v>
      </c>
      <c r="B1052" s="60" t="s">
        <v>120</v>
      </c>
      <c r="C1052" s="60">
        <v>1</v>
      </c>
      <c r="D1052" s="60">
        <v>0</v>
      </c>
      <c r="E1052" s="60">
        <f t="shared" si="16"/>
        <v>0</v>
      </c>
    </row>
    <row r="1053" spans="1:5" x14ac:dyDescent="0.25">
      <c r="A1053" s="60">
        <v>182</v>
      </c>
      <c r="B1053" s="60" t="s">
        <v>120</v>
      </c>
      <c r="C1053" s="60">
        <v>10</v>
      </c>
      <c r="D1053" s="60">
        <v>0</v>
      </c>
      <c r="E1053" s="60">
        <f t="shared" si="16"/>
        <v>0</v>
      </c>
    </row>
    <row r="1054" spans="1:5" x14ac:dyDescent="0.25">
      <c r="A1054" s="60">
        <v>182</v>
      </c>
      <c r="B1054" s="60" t="s">
        <v>120</v>
      </c>
      <c r="C1054" s="60">
        <v>20</v>
      </c>
      <c r="D1054" s="60">
        <v>0</v>
      </c>
      <c r="E1054" s="60">
        <f t="shared" si="16"/>
        <v>0</v>
      </c>
    </row>
    <row r="1055" spans="1:5" x14ac:dyDescent="0.25">
      <c r="A1055" s="60">
        <v>182</v>
      </c>
      <c r="B1055" s="60" t="s">
        <v>120</v>
      </c>
      <c r="C1055" s="60">
        <v>50</v>
      </c>
      <c r="D1055" s="60">
        <v>0</v>
      </c>
      <c r="E1055" s="60">
        <f t="shared" si="16"/>
        <v>0</v>
      </c>
    </row>
    <row r="1056" spans="1:5" x14ac:dyDescent="0.25">
      <c r="A1056" s="60">
        <v>182</v>
      </c>
      <c r="B1056" s="60" t="s">
        <v>120</v>
      </c>
      <c r="C1056" s="60">
        <v>70</v>
      </c>
      <c r="D1056" s="60">
        <v>0</v>
      </c>
      <c r="E1056" s="60">
        <f t="shared" si="16"/>
        <v>0</v>
      </c>
    </row>
    <row r="1057" spans="1:5" x14ac:dyDescent="0.25">
      <c r="A1057" s="60">
        <v>182</v>
      </c>
      <c r="B1057" s="60" t="s">
        <v>120</v>
      </c>
      <c r="C1057" s="60">
        <v>110</v>
      </c>
      <c r="D1057" s="60">
        <v>0</v>
      </c>
      <c r="E1057" s="60">
        <f t="shared" si="16"/>
        <v>0</v>
      </c>
    </row>
    <row r="1058" spans="1:5" x14ac:dyDescent="0.25">
      <c r="A1058" s="60">
        <v>182</v>
      </c>
      <c r="B1058" s="60" t="s">
        <v>120</v>
      </c>
      <c r="C1058" s="60">
        <v>120</v>
      </c>
      <c r="D1058" s="60">
        <v>0</v>
      </c>
      <c r="E1058" s="60">
        <f t="shared" si="16"/>
        <v>0</v>
      </c>
    </row>
    <row r="1059" spans="1:5" x14ac:dyDescent="0.25">
      <c r="A1059" s="60">
        <v>182</v>
      </c>
      <c r="B1059" s="60" t="s">
        <v>120</v>
      </c>
      <c r="C1059" s="60">
        <v>130</v>
      </c>
      <c r="D1059" s="60">
        <v>0</v>
      </c>
      <c r="E1059" s="60">
        <f t="shared" si="16"/>
        <v>0</v>
      </c>
    </row>
    <row r="1060" spans="1:5" x14ac:dyDescent="0.25">
      <c r="A1060" s="60">
        <v>182</v>
      </c>
      <c r="B1060" s="60" t="s">
        <v>120</v>
      </c>
      <c r="C1060" s="60">
        <v>140</v>
      </c>
      <c r="D1060" s="60">
        <v>0</v>
      </c>
      <c r="E1060" s="60">
        <f t="shared" si="16"/>
        <v>0</v>
      </c>
    </row>
    <row r="1061" spans="1:5" x14ac:dyDescent="0.25">
      <c r="A1061" s="60">
        <v>182</v>
      </c>
      <c r="B1061" s="60" t="s">
        <v>120</v>
      </c>
      <c r="C1061" s="60">
        <v>200</v>
      </c>
      <c r="D1061" s="60">
        <v>0</v>
      </c>
      <c r="E1061" s="60">
        <f t="shared" si="16"/>
        <v>0</v>
      </c>
    </row>
    <row r="1062" spans="1:5" x14ac:dyDescent="0.25">
      <c r="A1062" s="60">
        <v>182</v>
      </c>
      <c r="B1062" s="60" t="s">
        <v>120</v>
      </c>
      <c r="C1062" s="60">
        <v>220</v>
      </c>
      <c r="D1062" s="60">
        <v>0</v>
      </c>
      <c r="E1062" s="60">
        <f t="shared" si="16"/>
        <v>0</v>
      </c>
    </row>
    <row r="1063" spans="1:5" x14ac:dyDescent="0.25">
      <c r="A1063" s="60">
        <v>182</v>
      </c>
      <c r="B1063" s="60" t="s">
        <v>120</v>
      </c>
      <c r="C1063" s="60">
        <v>230</v>
      </c>
      <c r="D1063" s="60">
        <v>0</v>
      </c>
      <c r="E1063" s="60">
        <f t="shared" si="16"/>
        <v>0</v>
      </c>
    </row>
    <row r="1064" spans="1:5" x14ac:dyDescent="0.25">
      <c r="A1064" s="60">
        <v>182</v>
      </c>
      <c r="B1064" s="60" t="s">
        <v>120</v>
      </c>
      <c r="C1064" s="60">
        <v>298</v>
      </c>
      <c r="D1064" s="60">
        <v>0</v>
      </c>
      <c r="E1064" s="60">
        <f t="shared" si="16"/>
        <v>0</v>
      </c>
    </row>
    <row r="1065" spans="1:5" x14ac:dyDescent="0.25">
      <c r="A1065" s="60">
        <v>183</v>
      </c>
      <c r="B1065" s="60" t="s">
        <v>117</v>
      </c>
      <c r="C1065" s="60">
        <v>1</v>
      </c>
      <c r="D1065" s="60">
        <v>1559609</v>
      </c>
      <c r="E1065" s="60">
        <f t="shared" si="16"/>
        <v>1559609</v>
      </c>
    </row>
    <row r="1066" spans="1:5" x14ac:dyDescent="0.25">
      <c r="A1066" s="60">
        <v>183</v>
      </c>
      <c r="B1066" s="60" t="s">
        <v>117</v>
      </c>
      <c r="C1066" s="60">
        <v>10</v>
      </c>
      <c r="D1066" s="60">
        <v>21539780</v>
      </c>
      <c r="E1066" s="60">
        <f t="shared" si="16"/>
        <v>21539780</v>
      </c>
    </row>
    <row r="1067" spans="1:5" x14ac:dyDescent="0.25">
      <c r="A1067" s="60">
        <v>183</v>
      </c>
      <c r="B1067" s="60" t="s">
        <v>117</v>
      </c>
      <c r="C1067" s="60">
        <v>20</v>
      </c>
      <c r="D1067" s="60">
        <v>0</v>
      </c>
      <c r="E1067" s="60">
        <f t="shared" si="16"/>
        <v>0</v>
      </c>
    </row>
    <row r="1068" spans="1:5" x14ac:dyDescent="0.25">
      <c r="A1068" s="60">
        <v>183</v>
      </c>
      <c r="B1068" s="60" t="s">
        <v>117</v>
      </c>
      <c r="C1068" s="60">
        <v>40</v>
      </c>
      <c r="D1068" s="60">
        <v>0</v>
      </c>
      <c r="E1068" s="60">
        <f t="shared" si="16"/>
        <v>0</v>
      </c>
    </row>
    <row r="1069" spans="1:5" x14ac:dyDescent="0.25">
      <c r="A1069" s="60">
        <v>183</v>
      </c>
      <c r="B1069" s="60" t="s">
        <v>117</v>
      </c>
      <c r="C1069" s="60">
        <v>50</v>
      </c>
      <c r="D1069" s="60">
        <v>0</v>
      </c>
      <c r="E1069" s="60">
        <f t="shared" si="16"/>
        <v>0</v>
      </c>
    </row>
    <row r="1070" spans="1:5" x14ac:dyDescent="0.25">
      <c r="A1070" s="60">
        <v>183</v>
      </c>
      <c r="B1070" s="60" t="s">
        <v>117</v>
      </c>
      <c r="C1070" s="60">
        <v>70</v>
      </c>
      <c r="D1070" s="60">
        <v>0</v>
      </c>
      <c r="E1070" s="60">
        <f t="shared" si="16"/>
        <v>0</v>
      </c>
    </row>
    <row r="1071" spans="1:5" x14ac:dyDescent="0.25">
      <c r="A1071" s="60">
        <v>183</v>
      </c>
      <c r="B1071" s="60" t="s">
        <v>117</v>
      </c>
      <c r="C1071" s="60">
        <v>110</v>
      </c>
      <c r="D1071" s="60">
        <v>17961760</v>
      </c>
      <c r="E1071" s="60">
        <f t="shared" si="16"/>
        <v>-17961760</v>
      </c>
    </row>
    <row r="1072" spans="1:5" x14ac:dyDescent="0.25">
      <c r="A1072" s="60">
        <v>183</v>
      </c>
      <c r="B1072" s="60" t="s">
        <v>117</v>
      </c>
      <c r="C1072" s="60">
        <v>120</v>
      </c>
      <c r="D1072" s="60">
        <v>0</v>
      </c>
      <c r="E1072" s="60">
        <f t="shared" si="16"/>
        <v>0</v>
      </c>
    </row>
    <row r="1073" spans="1:5" x14ac:dyDescent="0.25">
      <c r="A1073" s="60">
        <v>183</v>
      </c>
      <c r="B1073" s="60" t="s">
        <v>117</v>
      </c>
      <c r="C1073" s="60">
        <v>130</v>
      </c>
      <c r="D1073" s="60">
        <v>0</v>
      </c>
      <c r="E1073" s="60">
        <f t="shared" si="16"/>
        <v>0</v>
      </c>
    </row>
    <row r="1074" spans="1:5" x14ac:dyDescent="0.25">
      <c r="A1074" s="60">
        <v>183</v>
      </c>
      <c r="B1074" s="60" t="s">
        <v>117</v>
      </c>
      <c r="C1074" s="60">
        <v>140</v>
      </c>
      <c r="D1074" s="60">
        <v>671200</v>
      </c>
      <c r="E1074" s="60">
        <f t="shared" si="16"/>
        <v>-671200</v>
      </c>
    </row>
    <row r="1075" spans="1:5" x14ac:dyDescent="0.25">
      <c r="A1075" s="60">
        <v>183</v>
      </c>
      <c r="B1075" s="60" t="s">
        <v>117</v>
      </c>
      <c r="C1075" s="60">
        <v>141</v>
      </c>
      <c r="D1075" s="60">
        <v>785920</v>
      </c>
      <c r="E1075" s="60">
        <f t="shared" si="16"/>
        <v>-785920</v>
      </c>
    </row>
    <row r="1076" spans="1:5" x14ac:dyDescent="0.25">
      <c r="A1076" s="60">
        <v>183</v>
      </c>
      <c r="B1076" s="60" t="s">
        <v>117</v>
      </c>
      <c r="C1076" s="60">
        <v>200</v>
      </c>
      <c r="D1076" s="60">
        <v>107699</v>
      </c>
      <c r="E1076" s="60">
        <f t="shared" si="16"/>
        <v>-107699</v>
      </c>
    </row>
    <row r="1077" spans="1:5" x14ac:dyDescent="0.25">
      <c r="A1077" s="60">
        <v>183</v>
      </c>
      <c r="B1077" s="60" t="s">
        <v>117</v>
      </c>
      <c r="C1077" s="60">
        <v>210</v>
      </c>
      <c r="D1077" s="60">
        <v>288287</v>
      </c>
      <c r="E1077" s="60">
        <f t="shared" si="16"/>
        <v>-288287</v>
      </c>
    </row>
    <row r="1078" spans="1:5" x14ac:dyDescent="0.25">
      <c r="A1078" s="60">
        <v>183</v>
      </c>
      <c r="B1078" s="60" t="s">
        <v>117</v>
      </c>
      <c r="C1078" s="60">
        <v>220</v>
      </c>
      <c r="D1078" s="60">
        <v>0</v>
      </c>
      <c r="E1078" s="60">
        <f t="shared" si="16"/>
        <v>0</v>
      </c>
    </row>
    <row r="1079" spans="1:5" x14ac:dyDescent="0.25">
      <c r="A1079" s="60">
        <v>183</v>
      </c>
      <c r="B1079" s="60" t="s">
        <v>117</v>
      </c>
      <c r="C1079" s="60">
        <v>230</v>
      </c>
      <c r="D1079" s="60">
        <v>0</v>
      </c>
      <c r="E1079" s="60">
        <f t="shared" si="16"/>
        <v>0</v>
      </c>
    </row>
    <row r="1080" spans="1:5" x14ac:dyDescent="0.25">
      <c r="A1080" s="60">
        <v>183</v>
      </c>
      <c r="B1080" s="60" t="s">
        <v>117</v>
      </c>
      <c r="C1080" s="60">
        <v>298</v>
      </c>
      <c r="D1080" s="60">
        <v>0</v>
      </c>
      <c r="E1080" s="60">
        <f t="shared" si="16"/>
        <v>0</v>
      </c>
    </row>
    <row r="1081" spans="1:5" x14ac:dyDescent="0.25">
      <c r="A1081" s="60">
        <v>183</v>
      </c>
      <c r="B1081" s="60" t="s">
        <v>118</v>
      </c>
      <c r="C1081" s="60">
        <v>1</v>
      </c>
      <c r="D1081" s="60">
        <v>2208769</v>
      </c>
      <c r="E1081" s="60">
        <f t="shared" si="16"/>
        <v>2208769</v>
      </c>
    </row>
    <row r="1082" spans="1:5" x14ac:dyDescent="0.25">
      <c r="A1082" s="60">
        <v>183</v>
      </c>
      <c r="B1082" s="60" t="s">
        <v>118</v>
      </c>
      <c r="C1082" s="60">
        <v>10</v>
      </c>
      <c r="D1082" s="60">
        <v>1511540</v>
      </c>
      <c r="E1082" s="60">
        <f t="shared" si="16"/>
        <v>1511540</v>
      </c>
    </row>
    <row r="1083" spans="1:5" x14ac:dyDescent="0.25">
      <c r="A1083" s="60">
        <v>183</v>
      </c>
      <c r="B1083" s="60" t="s">
        <v>118</v>
      </c>
      <c r="C1083" s="60">
        <v>20</v>
      </c>
      <c r="D1083" s="60">
        <v>102691</v>
      </c>
      <c r="E1083" s="60">
        <f t="shared" si="16"/>
        <v>102691</v>
      </c>
    </row>
    <row r="1084" spans="1:5" x14ac:dyDescent="0.25">
      <c r="A1084" s="60">
        <v>183</v>
      </c>
      <c r="B1084" s="60" t="s">
        <v>118</v>
      </c>
      <c r="C1084" s="60">
        <v>50</v>
      </c>
      <c r="D1084" s="60">
        <v>0</v>
      </c>
      <c r="E1084" s="60">
        <f t="shared" si="16"/>
        <v>0</v>
      </c>
    </row>
    <row r="1085" spans="1:5" x14ac:dyDescent="0.25">
      <c r="A1085" s="60">
        <v>183</v>
      </c>
      <c r="B1085" s="60" t="s">
        <v>118</v>
      </c>
      <c r="C1085" s="60">
        <v>70</v>
      </c>
      <c r="D1085" s="60">
        <v>0</v>
      </c>
      <c r="E1085" s="60">
        <f t="shared" si="16"/>
        <v>0</v>
      </c>
    </row>
    <row r="1086" spans="1:5" x14ac:dyDescent="0.25">
      <c r="A1086" s="60">
        <v>183</v>
      </c>
      <c r="B1086" s="60" t="s">
        <v>118</v>
      </c>
      <c r="C1086" s="60">
        <v>100</v>
      </c>
      <c r="D1086" s="60">
        <v>0</v>
      </c>
      <c r="E1086" s="60">
        <f t="shared" si="16"/>
        <v>0</v>
      </c>
    </row>
    <row r="1087" spans="1:5" x14ac:dyDescent="0.25">
      <c r="A1087" s="60">
        <v>183</v>
      </c>
      <c r="B1087" s="60" t="s">
        <v>118</v>
      </c>
      <c r="C1087" s="60">
        <v>110</v>
      </c>
      <c r="D1087" s="60">
        <v>1118720</v>
      </c>
      <c r="E1087" s="60">
        <f t="shared" si="16"/>
        <v>-1118720</v>
      </c>
    </row>
    <row r="1088" spans="1:5" x14ac:dyDescent="0.25">
      <c r="A1088" s="60">
        <v>183</v>
      </c>
      <c r="B1088" s="60" t="s">
        <v>118</v>
      </c>
      <c r="C1088" s="60">
        <v>120</v>
      </c>
      <c r="D1088" s="60">
        <v>0</v>
      </c>
      <c r="E1088" s="60">
        <f t="shared" si="16"/>
        <v>0</v>
      </c>
    </row>
    <row r="1089" spans="1:5" x14ac:dyDescent="0.25">
      <c r="A1089" s="60">
        <v>183</v>
      </c>
      <c r="B1089" s="60" t="s">
        <v>118</v>
      </c>
      <c r="C1089" s="60">
        <v>130</v>
      </c>
      <c r="D1089" s="60">
        <v>0</v>
      </c>
      <c r="E1089" s="60">
        <f t="shared" si="16"/>
        <v>0</v>
      </c>
    </row>
    <row r="1090" spans="1:5" x14ac:dyDescent="0.25">
      <c r="A1090" s="60">
        <v>183</v>
      </c>
      <c r="B1090" s="60" t="s">
        <v>118</v>
      </c>
      <c r="C1090" s="60">
        <v>140</v>
      </c>
      <c r="D1090" s="60">
        <v>0</v>
      </c>
      <c r="E1090" s="60">
        <f t="shared" ref="E1090:E1153" si="17">IF(C1090&lt;100,D1090,D1090*-1)</f>
        <v>0</v>
      </c>
    </row>
    <row r="1091" spans="1:5" x14ac:dyDescent="0.25">
      <c r="A1091" s="60">
        <v>183</v>
      </c>
      <c r="B1091" s="60" t="s">
        <v>118</v>
      </c>
      <c r="C1091" s="60">
        <v>141</v>
      </c>
      <c r="D1091" s="60">
        <v>2143680</v>
      </c>
      <c r="E1091" s="60">
        <f t="shared" si="17"/>
        <v>-2143680</v>
      </c>
    </row>
    <row r="1092" spans="1:5" x14ac:dyDescent="0.25">
      <c r="A1092" s="60">
        <v>183</v>
      </c>
      <c r="B1092" s="60" t="s">
        <v>118</v>
      </c>
      <c r="C1092" s="60">
        <v>200</v>
      </c>
      <c r="D1092" s="60">
        <v>7558</v>
      </c>
      <c r="E1092" s="60">
        <f t="shared" si="17"/>
        <v>-7558</v>
      </c>
    </row>
    <row r="1093" spans="1:5" x14ac:dyDescent="0.25">
      <c r="A1093" s="60">
        <v>183</v>
      </c>
      <c r="B1093" s="60" t="s">
        <v>118</v>
      </c>
      <c r="C1093" s="60">
        <v>210</v>
      </c>
      <c r="D1093" s="60">
        <v>0</v>
      </c>
      <c r="E1093" s="60">
        <f t="shared" si="17"/>
        <v>0</v>
      </c>
    </row>
    <row r="1094" spans="1:5" x14ac:dyDescent="0.25">
      <c r="A1094" s="60">
        <v>183</v>
      </c>
      <c r="B1094" s="60" t="s">
        <v>118</v>
      </c>
      <c r="C1094" s="60">
        <v>220</v>
      </c>
      <c r="D1094" s="60">
        <v>0</v>
      </c>
      <c r="E1094" s="60">
        <f t="shared" si="17"/>
        <v>0</v>
      </c>
    </row>
    <row r="1095" spans="1:5" x14ac:dyDescent="0.25">
      <c r="A1095" s="60">
        <v>183</v>
      </c>
      <c r="B1095" s="60" t="s">
        <v>118</v>
      </c>
      <c r="C1095" s="60">
        <v>230</v>
      </c>
      <c r="D1095" s="60">
        <v>7181</v>
      </c>
      <c r="E1095" s="60">
        <f t="shared" si="17"/>
        <v>-7181</v>
      </c>
    </row>
    <row r="1096" spans="1:5" x14ac:dyDescent="0.25">
      <c r="A1096" s="60">
        <v>183</v>
      </c>
      <c r="B1096" s="60" t="s">
        <v>118</v>
      </c>
      <c r="C1096" s="60">
        <v>260</v>
      </c>
      <c r="D1096" s="60">
        <v>0</v>
      </c>
      <c r="E1096" s="60">
        <f t="shared" si="17"/>
        <v>0</v>
      </c>
    </row>
    <row r="1097" spans="1:5" x14ac:dyDescent="0.25">
      <c r="A1097" s="60">
        <v>183</v>
      </c>
      <c r="B1097" s="60" t="s">
        <v>118</v>
      </c>
      <c r="C1097" s="60">
        <v>298</v>
      </c>
      <c r="D1097" s="60">
        <v>0</v>
      </c>
      <c r="E1097" s="60">
        <f t="shared" si="17"/>
        <v>0</v>
      </c>
    </row>
    <row r="1098" spans="1:5" x14ac:dyDescent="0.25">
      <c r="A1098" s="60">
        <v>183</v>
      </c>
      <c r="B1098" s="60" t="s">
        <v>119</v>
      </c>
      <c r="C1098" s="60">
        <v>1</v>
      </c>
      <c r="D1098" s="60">
        <v>0</v>
      </c>
      <c r="E1098" s="60">
        <f t="shared" si="17"/>
        <v>0</v>
      </c>
    </row>
    <row r="1099" spans="1:5" x14ac:dyDescent="0.25">
      <c r="A1099" s="60">
        <v>183</v>
      </c>
      <c r="B1099" s="60" t="s">
        <v>119</v>
      </c>
      <c r="C1099" s="60">
        <v>10</v>
      </c>
      <c r="D1099" s="60">
        <v>0</v>
      </c>
      <c r="E1099" s="60">
        <f t="shared" si="17"/>
        <v>0</v>
      </c>
    </row>
    <row r="1100" spans="1:5" x14ac:dyDescent="0.25">
      <c r="A1100" s="60">
        <v>183</v>
      </c>
      <c r="B1100" s="60" t="s">
        <v>119</v>
      </c>
      <c r="C1100" s="60">
        <v>110</v>
      </c>
      <c r="D1100" s="60">
        <v>0</v>
      </c>
      <c r="E1100" s="60">
        <f t="shared" si="17"/>
        <v>0</v>
      </c>
    </row>
    <row r="1101" spans="1:5" x14ac:dyDescent="0.25">
      <c r="A1101" s="60">
        <v>183</v>
      </c>
      <c r="B1101" s="60" t="s">
        <v>119</v>
      </c>
      <c r="C1101" s="60">
        <v>210</v>
      </c>
      <c r="D1101" s="60">
        <v>0</v>
      </c>
      <c r="E1101" s="60">
        <f t="shared" si="17"/>
        <v>0</v>
      </c>
    </row>
    <row r="1102" spans="1:5" x14ac:dyDescent="0.25">
      <c r="A1102" s="60">
        <v>183</v>
      </c>
      <c r="B1102" s="60" t="s">
        <v>119</v>
      </c>
      <c r="C1102" s="60">
        <v>220</v>
      </c>
      <c r="D1102" s="60">
        <v>0</v>
      </c>
      <c r="E1102" s="60">
        <f t="shared" si="17"/>
        <v>0</v>
      </c>
    </row>
    <row r="1103" spans="1:5" x14ac:dyDescent="0.25">
      <c r="A1103" s="60">
        <v>183</v>
      </c>
      <c r="B1103" s="60" t="s">
        <v>119</v>
      </c>
      <c r="C1103" s="60">
        <v>298</v>
      </c>
      <c r="D1103" s="60">
        <v>0</v>
      </c>
      <c r="E1103" s="60">
        <f t="shared" si="17"/>
        <v>0</v>
      </c>
    </row>
    <row r="1104" spans="1:5" x14ac:dyDescent="0.25">
      <c r="A1104" s="60">
        <v>183</v>
      </c>
      <c r="B1104" s="60" t="s">
        <v>120</v>
      </c>
      <c r="C1104" s="60">
        <v>1</v>
      </c>
      <c r="D1104" s="60">
        <v>10407475</v>
      </c>
      <c r="E1104" s="60">
        <f t="shared" si="17"/>
        <v>10407475</v>
      </c>
    </row>
    <row r="1105" spans="1:5" x14ac:dyDescent="0.25">
      <c r="A1105" s="60">
        <v>183</v>
      </c>
      <c r="B1105" s="60" t="s">
        <v>120</v>
      </c>
      <c r="C1105" s="60">
        <v>10</v>
      </c>
      <c r="D1105" s="60">
        <v>13456360</v>
      </c>
      <c r="E1105" s="60">
        <f t="shared" si="17"/>
        <v>13456360</v>
      </c>
    </row>
    <row r="1106" spans="1:5" x14ac:dyDescent="0.25">
      <c r="A1106" s="60">
        <v>183</v>
      </c>
      <c r="B1106" s="60" t="s">
        <v>120</v>
      </c>
      <c r="C1106" s="60">
        <v>20</v>
      </c>
      <c r="D1106" s="60">
        <v>428545</v>
      </c>
      <c r="E1106" s="60">
        <f t="shared" si="17"/>
        <v>428545</v>
      </c>
    </row>
    <row r="1107" spans="1:5" x14ac:dyDescent="0.25">
      <c r="A1107" s="60">
        <v>183</v>
      </c>
      <c r="B1107" s="60" t="s">
        <v>120</v>
      </c>
      <c r="C1107" s="60">
        <v>50</v>
      </c>
      <c r="D1107" s="60">
        <v>0</v>
      </c>
      <c r="E1107" s="60">
        <f t="shared" si="17"/>
        <v>0</v>
      </c>
    </row>
    <row r="1108" spans="1:5" x14ac:dyDescent="0.25">
      <c r="A1108" s="60">
        <v>183</v>
      </c>
      <c r="B1108" s="60" t="s">
        <v>120</v>
      </c>
      <c r="C1108" s="60">
        <v>70</v>
      </c>
      <c r="D1108" s="60">
        <v>0</v>
      </c>
      <c r="E1108" s="60">
        <f t="shared" si="17"/>
        <v>0</v>
      </c>
    </row>
    <row r="1109" spans="1:5" x14ac:dyDescent="0.25">
      <c r="A1109" s="60">
        <v>183</v>
      </c>
      <c r="B1109" s="60" t="s">
        <v>120</v>
      </c>
      <c r="C1109" s="60">
        <v>110</v>
      </c>
      <c r="D1109" s="60">
        <v>7274400</v>
      </c>
      <c r="E1109" s="60">
        <f t="shared" si="17"/>
        <v>-7274400</v>
      </c>
    </row>
    <row r="1110" spans="1:5" x14ac:dyDescent="0.25">
      <c r="A1110" s="60">
        <v>183</v>
      </c>
      <c r="B1110" s="60" t="s">
        <v>120</v>
      </c>
      <c r="C1110" s="60">
        <v>120</v>
      </c>
      <c r="D1110" s="60">
        <v>0</v>
      </c>
      <c r="E1110" s="60">
        <f t="shared" si="17"/>
        <v>0</v>
      </c>
    </row>
    <row r="1111" spans="1:5" x14ac:dyDescent="0.25">
      <c r="A1111" s="60">
        <v>183</v>
      </c>
      <c r="B1111" s="60" t="s">
        <v>120</v>
      </c>
      <c r="C1111" s="60">
        <v>130</v>
      </c>
      <c r="D1111" s="60">
        <v>0</v>
      </c>
      <c r="E1111" s="60">
        <f t="shared" si="17"/>
        <v>0</v>
      </c>
    </row>
    <row r="1112" spans="1:5" x14ac:dyDescent="0.25">
      <c r="A1112" s="60">
        <v>183</v>
      </c>
      <c r="B1112" s="60" t="s">
        <v>120</v>
      </c>
      <c r="C1112" s="60">
        <v>140</v>
      </c>
      <c r="D1112" s="60">
        <v>1479520</v>
      </c>
      <c r="E1112" s="60">
        <f t="shared" si="17"/>
        <v>-1479520</v>
      </c>
    </row>
    <row r="1113" spans="1:5" x14ac:dyDescent="0.25">
      <c r="A1113" s="60">
        <v>183</v>
      </c>
      <c r="B1113" s="60" t="s">
        <v>120</v>
      </c>
      <c r="C1113" s="60">
        <v>141</v>
      </c>
      <c r="D1113" s="60">
        <v>11392720</v>
      </c>
      <c r="E1113" s="60">
        <f t="shared" si="17"/>
        <v>-11392720</v>
      </c>
    </row>
    <row r="1114" spans="1:5" x14ac:dyDescent="0.25">
      <c r="A1114" s="60">
        <v>183</v>
      </c>
      <c r="B1114" s="60" t="s">
        <v>120</v>
      </c>
      <c r="C1114" s="60">
        <v>200</v>
      </c>
      <c r="D1114" s="60">
        <v>134564</v>
      </c>
      <c r="E1114" s="60">
        <f t="shared" si="17"/>
        <v>-134564</v>
      </c>
    </row>
    <row r="1115" spans="1:5" x14ac:dyDescent="0.25">
      <c r="A1115" s="60">
        <v>183</v>
      </c>
      <c r="B1115" s="60" t="s">
        <v>120</v>
      </c>
      <c r="C1115" s="60">
        <v>210</v>
      </c>
      <c r="D1115" s="60">
        <v>6220</v>
      </c>
      <c r="E1115" s="60">
        <f t="shared" si="17"/>
        <v>-6220</v>
      </c>
    </row>
    <row r="1116" spans="1:5" x14ac:dyDescent="0.25">
      <c r="A1116" s="60">
        <v>183</v>
      </c>
      <c r="B1116" s="60" t="s">
        <v>120</v>
      </c>
      <c r="C1116" s="60">
        <v>220</v>
      </c>
      <c r="D1116" s="60">
        <v>0</v>
      </c>
      <c r="E1116" s="60">
        <f t="shared" si="17"/>
        <v>0</v>
      </c>
    </row>
    <row r="1117" spans="1:5" x14ac:dyDescent="0.25">
      <c r="A1117" s="60">
        <v>183</v>
      </c>
      <c r="B1117" s="60" t="s">
        <v>120</v>
      </c>
      <c r="C1117" s="60">
        <v>230</v>
      </c>
      <c r="D1117" s="60">
        <v>14267</v>
      </c>
      <c r="E1117" s="60">
        <f t="shared" si="17"/>
        <v>-14267</v>
      </c>
    </row>
    <row r="1118" spans="1:5" x14ac:dyDescent="0.25">
      <c r="A1118" s="60">
        <v>183</v>
      </c>
      <c r="B1118" s="60" t="s">
        <v>120</v>
      </c>
      <c r="C1118" s="60">
        <v>298</v>
      </c>
      <c r="D1118" s="60">
        <v>0</v>
      </c>
      <c r="E1118" s="60">
        <f t="shared" si="17"/>
        <v>0</v>
      </c>
    </row>
    <row r="1119" spans="1:5" x14ac:dyDescent="0.25">
      <c r="A1119" s="60">
        <v>185</v>
      </c>
      <c r="B1119" s="60" t="s">
        <v>117</v>
      </c>
      <c r="C1119" s="60">
        <v>1</v>
      </c>
      <c r="D1119" s="60">
        <v>31436552</v>
      </c>
      <c r="E1119" s="60">
        <f t="shared" si="17"/>
        <v>31436552</v>
      </c>
    </row>
    <row r="1120" spans="1:5" x14ac:dyDescent="0.25">
      <c r="A1120" s="60">
        <v>185</v>
      </c>
      <c r="B1120" s="60" t="s">
        <v>117</v>
      </c>
      <c r="C1120" s="60">
        <v>10</v>
      </c>
      <c r="D1120" s="60">
        <v>0</v>
      </c>
      <c r="E1120" s="60">
        <f t="shared" si="17"/>
        <v>0</v>
      </c>
    </row>
    <row r="1121" spans="1:5" x14ac:dyDescent="0.25">
      <c r="A1121" s="60">
        <v>185</v>
      </c>
      <c r="B1121" s="60" t="s">
        <v>117</v>
      </c>
      <c r="C1121" s="60">
        <v>20</v>
      </c>
      <c r="D1121" s="60">
        <v>0</v>
      </c>
      <c r="E1121" s="60">
        <f t="shared" si="17"/>
        <v>0</v>
      </c>
    </row>
    <row r="1122" spans="1:5" x14ac:dyDescent="0.25">
      <c r="A1122" s="60">
        <v>185</v>
      </c>
      <c r="B1122" s="60" t="s">
        <v>117</v>
      </c>
      <c r="C1122" s="60">
        <v>30</v>
      </c>
      <c r="D1122" s="60">
        <v>0</v>
      </c>
      <c r="E1122" s="60">
        <f t="shared" si="17"/>
        <v>0</v>
      </c>
    </row>
    <row r="1123" spans="1:5" x14ac:dyDescent="0.25">
      <c r="A1123" s="60">
        <v>185</v>
      </c>
      <c r="B1123" s="60" t="s">
        <v>117</v>
      </c>
      <c r="C1123" s="60">
        <v>40</v>
      </c>
      <c r="D1123" s="60">
        <v>0</v>
      </c>
      <c r="E1123" s="60">
        <f t="shared" si="17"/>
        <v>0</v>
      </c>
    </row>
    <row r="1124" spans="1:5" x14ac:dyDescent="0.25">
      <c r="A1124" s="60">
        <v>185</v>
      </c>
      <c r="B1124" s="60" t="s">
        <v>117</v>
      </c>
      <c r="C1124" s="60">
        <v>50</v>
      </c>
      <c r="D1124" s="60">
        <v>26143070</v>
      </c>
      <c r="E1124" s="60">
        <f t="shared" si="17"/>
        <v>26143070</v>
      </c>
    </row>
    <row r="1125" spans="1:5" x14ac:dyDescent="0.25">
      <c r="A1125" s="60">
        <v>185</v>
      </c>
      <c r="B1125" s="60" t="s">
        <v>117</v>
      </c>
      <c r="C1125" s="60">
        <v>70</v>
      </c>
      <c r="D1125" s="60">
        <v>0</v>
      </c>
      <c r="E1125" s="60">
        <f t="shared" si="17"/>
        <v>0</v>
      </c>
    </row>
    <row r="1126" spans="1:5" x14ac:dyDescent="0.25">
      <c r="A1126" s="60">
        <v>185</v>
      </c>
      <c r="B1126" s="60" t="s">
        <v>117</v>
      </c>
      <c r="C1126" s="60">
        <v>110</v>
      </c>
      <c r="D1126" s="60">
        <v>109140</v>
      </c>
      <c r="E1126" s="60">
        <f t="shared" si="17"/>
        <v>-109140</v>
      </c>
    </row>
    <row r="1127" spans="1:5" x14ac:dyDescent="0.25">
      <c r="A1127" s="60">
        <v>185</v>
      </c>
      <c r="B1127" s="60" t="s">
        <v>117</v>
      </c>
      <c r="C1127" s="60">
        <v>130</v>
      </c>
      <c r="D1127" s="60">
        <v>0</v>
      </c>
      <c r="E1127" s="60">
        <f t="shared" si="17"/>
        <v>0</v>
      </c>
    </row>
    <row r="1128" spans="1:5" x14ac:dyDescent="0.25">
      <c r="A1128" s="60">
        <v>185</v>
      </c>
      <c r="B1128" s="60" t="s">
        <v>117</v>
      </c>
      <c r="C1128" s="60">
        <v>140</v>
      </c>
      <c r="D1128" s="60">
        <v>0</v>
      </c>
      <c r="E1128" s="60">
        <f t="shared" si="17"/>
        <v>0</v>
      </c>
    </row>
    <row r="1129" spans="1:5" x14ac:dyDescent="0.25">
      <c r="A1129" s="60">
        <v>185</v>
      </c>
      <c r="B1129" s="60" t="s">
        <v>117</v>
      </c>
      <c r="C1129" s="60">
        <v>141</v>
      </c>
      <c r="D1129" s="60">
        <v>24462680</v>
      </c>
      <c r="E1129" s="60">
        <f t="shared" si="17"/>
        <v>-24462680</v>
      </c>
    </row>
    <row r="1130" spans="1:5" x14ac:dyDescent="0.25">
      <c r="A1130" s="60">
        <v>185</v>
      </c>
      <c r="B1130" s="60" t="s">
        <v>117</v>
      </c>
      <c r="C1130" s="60">
        <v>200</v>
      </c>
      <c r="D1130" s="60">
        <v>0</v>
      </c>
      <c r="E1130" s="60">
        <f t="shared" si="17"/>
        <v>0</v>
      </c>
    </row>
    <row r="1131" spans="1:5" x14ac:dyDescent="0.25">
      <c r="A1131" s="60">
        <v>185</v>
      </c>
      <c r="B1131" s="60" t="s">
        <v>117</v>
      </c>
      <c r="C1131" s="60">
        <v>210</v>
      </c>
      <c r="D1131" s="60">
        <v>231026</v>
      </c>
      <c r="E1131" s="60">
        <f t="shared" si="17"/>
        <v>-231026</v>
      </c>
    </row>
    <row r="1132" spans="1:5" x14ac:dyDescent="0.25">
      <c r="A1132" s="60">
        <v>185</v>
      </c>
      <c r="B1132" s="60" t="s">
        <v>117</v>
      </c>
      <c r="C1132" s="60">
        <v>220</v>
      </c>
      <c r="D1132" s="60">
        <v>0</v>
      </c>
      <c r="E1132" s="60">
        <f t="shared" si="17"/>
        <v>0</v>
      </c>
    </row>
    <row r="1133" spans="1:5" x14ac:dyDescent="0.25">
      <c r="A1133" s="60">
        <v>185</v>
      </c>
      <c r="B1133" s="60" t="s">
        <v>117</v>
      </c>
      <c r="C1133" s="60">
        <v>270</v>
      </c>
      <c r="D1133" s="60">
        <v>0</v>
      </c>
      <c r="E1133" s="60">
        <f t="shared" si="17"/>
        <v>0</v>
      </c>
    </row>
    <row r="1134" spans="1:5" x14ac:dyDescent="0.25">
      <c r="A1134" s="60">
        <v>185</v>
      </c>
      <c r="B1134" s="60" t="s">
        <v>117</v>
      </c>
      <c r="C1134" s="60">
        <v>298</v>
      </c>
      <c r="D1134" s="60">
        <v>0</v>
      </c>
      <c r="E1134" s="60">
        <f t="shared" si="17"/>
        <v>0</v>
      </c>
    </row>
    <row r="1135" spans="1:5" x14ac:dyDescent="0.25">
      <c r="A1135" s="60">
        <v>185</v>
      </c>
      <c r="B1135" s="60" t="s">
        <v>118</v>
      </c>
      <c r="C1135" s="60">
        <v>1</v>
      </c>
      <c r="D1135" s="60">
        <v>0</v>
      </c>
      <c r="E1135" s="60">
        <f t="shared" si="17"/>
        <v>0</v>
      </c>
    </row>
    <row r="1136" spans="1:5" x14ac:dyDescent="0.25">
      <c r="A1136" s="60">
        <v>185</v>
      </c>
      <c r="B1136" s="60" t="s">
        <v>118</v>
      </c>
      <c r="C1136" s="60">
        <v>20</v>
      </c>
      <c r="D1136" s="60">
        <v>0</v>
      </c>
      <c r="E1136" s="60">
        <f t="shared" si="17"/>
        <v>0</v>
      </c>
    </row>
    <row r="1137" spans="1:5" x14ac:dyDescent="0.25">
      <c r="A1137" s="60">
        <v>185</v>
      </c>
      <c r="B1137" s="60" t="s">
        <v>118</v>
      </c>
      <c r="C1137" s="60">
        <v>50</v>
      </c>
      <c r="D1137" s="60">
        <v>0</v>
      </c>
      <c r="E1137" s="60">
        <f t="shared" si="17"/>
        <v>0</v>
      </c>
    </row>
    <row r="1138" spans="1:5" x14ac:dyDescent="0.25">
      <c r="A1138" s="60">
        <v>185</v>
      </c>
      <c r="B1138" s="60" t="s">
        <v>118</v>
      </c>
      <c r="C1138" s="60">
        <v>110</v>
      </c>
      <c r="D1138" s="60">
        <v>0</v>
      </c>
      <c r="E1138" s="60">
        <f t="shared" si="17"/>
        <v>0</v>
      </c>
    </row>
    <row r="1139" spans="1:5" x14ac:dyDescent="0.25">
      <c r="A1139" s="60">
        <v>185</v>
      </c>
      <c r="B1139" s="60" t="s">
        <v>118</v>
      </c>
      <c r="C1139" s="60">
        <v>140</v>
      </c>
      <c r="D1139" s="60">
        <v>0</v>
      </c>
      <c r="E1139" s="60">
        <f t="shared" si="17"/>
        <v>0</v>
      </c>
    </row>
    <row r="1140" spans="1:5" x14ac:dyDescent="0.25">
      <c r="A1140" s="60">
        <v>185</v>
      </c>
      <c r="B1140" s="60" t="s">
        <v>118</v>
      </c>
      <c r="C1140" s="60">
        <v>220</v>
      </c>
      <c r="D1140" s="60">
        <v>0</v>
      </c>
      <c r="E1140" s="60">
        <f t="shared" si="17"/>
        <v>0</v>
      </c>
    </row>
    <row r="1141" spans="1:5" x14ac:dyDescent="0.25">
      <c r="A1141" s="60">
        <v>185</v>
      </c>
      <c r="B1141" s="60" t="s">
        <v>118</v>
      </c>
      <c r="C1141" s="60">
        <v>230</v>
      </c>
      <c r="D1141" s="60">
        <v>0</v>
      </c>
      <c r="E1141" s="60">
        <f t="shared" si="17"/>
        <v>0</v>
      </c>
    </row>
    <row r="1142" spans="1:5" x14ac:dyDescent="0.25">
      <c r="A1142" s="60">
        <v>185</v>
      </c>
      <c r="B1142" s="60" t="s">
        <v>118</v>
      </c>
      <c r="C1142" s="60">
        <v>298</v>
      </c>
      <c r="D1142" s="60">
        <v>0</v>
      </c>
      <c r="E1142" s="60">
        <f t="shared" si="17"/>
        <v>0</v>
      </c>
    </row>
    <row r="1143" spans="1:5" x14ac:dyDescent="0.25">
      <c r="A1143" s="60">
        <v>185</v>
      </c>
      <c r="B1143" s="60" t="s">
        <v>119</v>
      </c>
      <c r="C1143" s="60">
        <v>10</v>
      </c>
      <c r="D1143" s="60">
        <v>0</v>
      </c>
      <c r="E1143" s="60">
        <f t="shared" si="17"/>
        <v>0</v>
      </c>
    </row>
    <row r="1144" spans="1:5" x14ac:dyDescent="0.25">
      <c r="A1144" s="60">
        <v>185</v>
      </c>
      <c r="B1144" s="60" t="s">
        <v>119</v>
      </c>
      <c r="C1144" s="60">
        <v>50</v>
      </c>
      <c r="D1144" s="60">
        <v>0</v>
      </c>
      <c r="E1144" s="60">
        <f t="shared" si="17"/>
        <v>0</v>
      </c>
    </row>
    <row r="1145" spans="1:5" x14ac:dyDescent="0.25">
      <c r="A1145" s="60">
        <v>185</v>
      </c>
      <c r="B1145" s="60" t="s">
        <v>119</v>
      </c>
      <c r="C1145" s="60">
        <v>110</v>
      </c>
      <c r="D1145" s="60">
        <v>0</v>
      </c>
      <c r="E1145" s="60">
        <f t="shared" si="17"/>
        <v>0</v>
      </c>
    </row>
    <row r="1146" spans="1:5" x14ac:dyDescent="0.25">
      <c r="A1146" s="60">
        <v>185</v>
      </c>
      <c r="B1146" s="60" t="s">
        <v>119</v>
      </c>
      <c r="C1146" s="60">
        <v>230</v>
      </c>
      <c r="D1146" s="60">
        <v>0</v>
      </c>
      <c r="E1146" s="60">
        <f t="shared" si="17"/>
        <v>0</v>
      </c>
    </row>
    <row r="1147" spans="1:5" x14ac:dyDescent="0.25">
      <c r="A1147" s="60">
        <v>185</v>
      </c>
      <c r="B1147" s="60" t="s">
        <v>120</v>
      </c>
      <c r="C1147" s="60">
        <v>50</v>
      </c>
      <c r="D1147" s="60">
        <v>0</v>
      </c>
      <c r="E1147" s="60">
        <f t="shared" si="17"/>
        <v>0</v>
      </c>
    </row>
    <row r="1148" spans="1:5" x14ac:dyDescent="0.25">
      <c r="A1148" s="60">
        <v>185</v>
      </c>
      <c r="B1148" s="60" t="s">
        <v>120</v>
      </c>
      <c r="C1148" s="60">
        <v>110</v>
      </c>
      <c r="D1148" s="60">
        <v>0</v>
      </c>
      <c r="E1148" s="60">
        <f t="shared" si="17"/>
        <v>0</v>
      </c>
    </row>
    <row r="1149" spans="1:5" x14ac:dyDescent="0.25">
      <c r="A1149" s="60">
        <v>187</v>
      </c>
      <c r="B1149" s="60" t="s">
        <v>117</v>
      </c>
      <c r="C1149" s="60">
        <v>1</v>
      </c>
      <c r="D1149" s="60">
        <v>53585</v>
      </c>
      <c r="E1149" s="60">
        <f t="shared" si="17"/>
        <v>53585</v>
      </c>
    </row>
    <row r="1150" spans="1:5" x14ac:dyDescent="0.25">
      <c r="A1150" s="60">
        <v>187</v>
      </c>
      <c r="B1150" s="60" t="s">
        <v>117</v>
      </c>
      <c r="C1150" s="60">
        <v>10</v>
      </c>
      <c r="D1150" s="60">
        <v>52010240</v>
      </c>
      <c r="E1150" s="60">
        <f t="shared" si="17"/>
        <v>52010240</v>
      </c>
    </row>
    <row r="1151" spans="1:5" x14ac:dyDescent="0.25">
      <c r="A1151" s="60">
        <v>187</v>
      </c>
      <c r="B1151" s="60" t="s">
        <v>117</v>
      </c>
      <c r="C1151" s="60">
        <v>20</v>
      </c>
      <c r="D1151" s="60">
        <v>600026</v>
      </c>
      <c r="E1151" s="60">
        <f t="shared" si="17"/>
        <v>600026</v>
      </c>
    </row>
    <row r="1152" spans="1:5" x14ac:dyDescent="0.25">
      <c r="A1152" s="60">
        <v>187</v>
      </c>
      <c r="B1152" s="60" t="s">
        <v>117</v>
      </c>
      <c r="C1152" s="60">
        <v>50</v>
      </c>
      <c r="D1152" s="60">
        <v>14460481</v>
      </c>
      <c r="E1152" s="60">
        <f t="shared" si="17"/>
        <v>14460481</v>
      </c>
    </row>
    <row r="1153" spans="1:5" x14ac:dyDescent="0.25">
      <c r="A1153" s="60">
        <v>187</v>
      </c>
      <c r="B1153" s="60" t="s">
        <v>117</v>
      </c>
      <c r="C1153" s="60">
        <v>70</v>
      </c>
      <c r="D1153" s="60">
        <v>459561</v>
      </c>
      <c r="E1153" s="60">
        <f t="shared" si="17"/>
        <v>459561</v>
      </c>
    </row>
    <row r="1154" spans="1:5" x14ac:dyDescent="0.25">
      <c r="A1154" s="60">
        <v>187</v>
      </c>
      <c r="B1154" s="60" t="s">
        <v>117</v>
      </c>
      <c r="C1154" s="60">
        <v>110</v>
      </c>
      <c r="D1154" s="60">
        <v>12842000</v>
      </c>
      <c r="E1154" s="60">
        <f t="shared" ref="E1154:E1217" si="18">IF(C1154&lt;100,D1154,D1154*-1)</f>
        <v>-12842000</v>
      </c>
    </row>
    <row r="1155" spans="1:5" x14ac:dyDescent="0.25">
      <c r="A1155" s="60">
        <v>187</v>
      </c>
      <c r="B1155" s="60" t="s">
        <v>117</v>
      </c>
      <c r="C1155" s="60">
        <v>140</v>
      </c>
      <c r="D1155" s="60">
        <v>12146220</v>
      </c>
      <c r="E1155" s="60">
        <f t="shared" si="18"/>
        <v>-12146220</v>
      </c>
    </row>
    <row r="1156" spans="1:5" x14ac:dyDescent="0.25">
      <c r="A1156" s="60">
        <v>187</v>
      </c>
      <c r="B1156" s="60" t="s">
        <v>117</v>
      </c>
      <c r="C1156" s="60">
        <v>141</v>
      </c>
      <c r="D1156" s="60">
        <v>41992620</v>
      </c>
      <c r="E1156" s="60">
        <f t="shared" si="18"/>
        <v>-41992620</v>
      </c>
    </row>
    <row r="1157" spans="1:5" x14ac:dyDescent="0.25">
      <c r="A1157" s="60">
        <v>187</v>
      </c>
      <c r="B1157" s="60" t="s">
        <v>117</v>
      </c>
      <c r="C1157" s="60">
        <v>200</v>
      </c>
      <c r="D1157" s="60">
        <v>246728</v>
      </c>
      <c r="E1157" s="60">
        <f t="shared" si="18"/>
        <v>-246728</v>
      </c>
    </row>
    <row r="1158" spans="1:5" x14ac:dyDescent="0.25">
      <c r="A1158" s="60">
        <v>187</v>
      </c>
      <c r="B1158" s="60" t="s">
        <v>117</v>
      </c>
      <c r="C1158" s="60">
        <v>210</v>
      </c>
      <c r="D1158" s="60">
        <v>214368</v>
      </c>
      <c r="E1158" s="60">
        <f t="shared" si="18"/>
        <v>-214368</v>
      </c>
    </row>
    <row r="1159" spans="1:5" x14ac:dyDescent="0.25">
      <c r="A1159" s="60">
        <v>187</v>
      </c>
      <c r="B1159" s="60" t="s">
        <v>117</v>
      </c>
      <c r="C1159" s="60">
        <v>220</v>
      </c>
      <c r="D1159" s="60">
        <v>0</v>
      </c>
      <c r="E1159" s="60">
        <f t="shared" si="18"/>
        <v>0</v>
      </c>
    </row>
    <row r="1160" spans="1:5" x14ac:dyDescent="0.25">
      <c r="A1160" s="60">
        <v>187</v>
      </c>
      <c r="B1160" s="60" t="s">
        <v>118</v>
      </c>
      <c r="C1160" s="60">
        <v>1</v>
      </c>
      <c r="D1160" s="60">
        <v>0</v>
      </c>
      <c r="E1160" s="60">
        <f t="shared" si="18"/>
        <v>0</v>
      </c>
    </row>
    <row r="1161" spans="1:5" x14ac:dyDescent="0.25">
      <c r="A1161" s="60">
        <v>187</v>
      </c>
      <c r="B1161" s="60" t="s">
        <v>118</v>
      </c>
      <c r="C1161" s="60">
        <v>10</v>
      </c>
      <c r="D1161" s="60">
        <v>7727600</v>
      </c>
      <c r="E1161" s="60">
        <f t="shared" si="18"/>
        <v>7727600</v>
      </c>
    </row>
    <row r="1162" spans="1:5" x14ac:dyDescent="0.25">
      <c r="A1162" s="60">
        <v>187</v>
      </c>
      <c r="B1162" s="60" t="s">
        <v>118</v>
      </c>
      <c r="C1162" s="60">
        <v>20</v>
      </c>
      <c r="D1162" s="60">
        <v>0</v>
      </c>
      <c r="E1162" s="60">
        <f t="shared" si="18"/>
        <v>0</v>
      </c>
    </row>
    <row r="1163" spans="1:5" x14ac:dyDescent="0.25">
      <c r="A1163" s="60">
        <v>187</v>
      </c>
      <c r="B1163" s="60" t="s">
        <v>118</v>
      </c>
      <c r="C1163" s="60">
        <v>50</v>
      </c>
      <c r="D1163" s="60">
        <v>5450880</v>
      </c>
      <c r="E1163" s="60">
        <f t="shared" si="18"/>
        <v>5450880</v>
      </c>
    </row>
    <row r="1164" spans="1:5" x14ac:dyDescent="0.25">
      <c r="A1164" s="60">
        <v>187</v>
      </c>
      <c r="B1164" s="60" t="s">
        <v>118</v>
      </c>
      <c r="C1164" s="60">
        <v>110</v>
      </c>
      <c r="D1164" s="60">
        <v>0</v>
      </c>
      <c r="E1164" s="60">
        <f t="shared" si="18"/>
        <v>0</v>
      </c>
    </row>
    <row r="1165" spans="1:5" x14ac:dyDescent="0.25">
      <c r="A1165" s="60">
        <v>187</v>
      </c>
      <c r="B1165" s="60" t="s">
        <v>118</v>
      </c>
      <c r="C1165" s="60">
        <v>140</v>
      </c>
      <c r="D1165" s="60">
        <v>0</v>
      </c>
      <c r="E1165" s="60">
        <f t="shared" si="18"/>
        <v>0</v>
      </c>
    </row>
    <row r="1166" spans="1:5" x14ac:dyDescent="0.25">
      <c r="A1166" s="60">
        <v>187</v>
      </c>
      <c r="B1166" s="60" t="s">
        <v>118</v>
      </c>
      <c r="C1166" s="60">
        <v>200</v>
      </c>
      <c r="D1166" s="60">
        <v>38638</v>
      </c>
      <c r="E1166" s="60">
        <f t="shared" si="18"/>
        <v>-38638</v>
      </c>
    </row>
    <row r="1167" spans="1:5" x14ac:dyDescent="0.25">
      <c r="A1167" s="60">
        <v>187</v>
      </c>
      <c r="B1167" s="60" t="s">
        <v>118</v>
      </c>
      <c r="C1167" s="60">
        <v>220</v>
      </c>
      <c r="D1167" s="60">
        <v>0</v>
      </c>
      <c r="E1167" s="60">
        <f t="shared" si="18"/>
        <v>0</v>
      </c>
    </row>
    <row r="1168" spans="1:5" x14ac:dyDescent="0.25">
      <c r="A1168" s="60">
        <v>187</v>
      </c>
      <c r="B1168" s="60" t="s">
        <v>118</v>
      </c>
      <c r="C1168" s="60">
        <v>230</v>
      </c>
      <c r="D1168" s="60">
        <v>223805</v>
      </c>
      <c r="E1168" s="60">
        <f t="shared" si="18"/>
        <v>-223805</v>
      </c>
    </row>
    <row r="1169" spans="1:5" x14ac:dyDescent="0.25">
      <c r="A1169" s="60">
        <v>187</v>
      </c>
      <c r="B1169" s="60" t="s">
        <v>119</v>
      </c>
      <c r="C1169" s="60">
        <v>1</v>
      </c>
      <c r="D1169" s="60">
        <v>13891143</v>
      </c>
      <c r="E1169" s="60">
        <f t="shared" si="18"/>
        <v>13891143</v>
      </c>
    </row>
    <row r="1170" spans="1:5" x14ac:dyDescent="0.25">
      <c r="A1170" s="60">
        <v>187</v>
      </c>
      <c r="B1170" s="60" t="s">
        <v>119</v>
      </c>
      <c r="C1170" s="60">
        <v>10</v>
      </c>
      <c r="D1170" s="60">
        <v>11654900</v>
      </c>
      <c r="E1170" s="60">
        <f t="shared" si="18"/>
        <v>11654900</v>
      </c>
    </row>
    <row r="1171" spans="1:5" x14ac:dyDescent="0.25">
      <c r="A1171" s="60">
        <v>187</v>
      </c>
      <c r="B1171" s="60" t="s">
        <v>119</v>
      </c>
      <c r="C1171" s="60">
        <v>20</v>
      </c>
      <c r="D1171" s="60">
        <v>13677</v>
      </c>
      <c r="E1171" s="60">
        <f t="shared" si="18"/>
        <v>13677</v>
      </c>
    </row>
    <row r="1172" spans="1:5" x14ac:dyDescent="0.25">
      <c r="A1172" s="60">
        <v>187</v>
      </c>
      <c r="B1172" s="60" t="s">
        <v>119</v>
      </c>
      <c r="C1172" s="60">
        <v>50</v>
      </c>
      <c r="D1172" s="60">
        <v>0</v>
      </c>
      <c r="E1172" s="60">
        <f t="shared" si="18"/>
        <v>0</v>
      </c>
    </row>
    <row r="1173" spans="1:5" x14ac:dyDescent="0.25">
      <c r="A1173" s="60">
        <v>187</v>
      </c>
      <c r="B1173" s="60" t="s">
        <v>119</v>
      </c>
      <c r="C1173" s="60">
        <v>110</v>
      </c>
      <c r="D1173" s="60">
        <v>164660</v>
      </c>
      <c r="E1173" s="60">
        <f t="shared" si="18"/>
        <v>-164660</v>
      </c>
    </row>
    <row r="1174" spans="1:5" x14ac:dyDescent="0.25">
      <c r="A1174" s="60">
        <v>187</v>
      </c>
      <c r="B1174" s="60" t="s">
        <v>119</v>
      </c>
      <c r="C1174" s="60">
        <v>140</v>
      </c>
      <c r="D1174" s="60">
        <v>14880</v>
      </c>
      <c r="E1174" s="60">
        <f t="shared" si="18"/>
        <v>-14880</v>
      </c>
    </row>
    <row r="1175" spans="1:5" x14ac:dyDescent="0.25">
      <c r="A1175" s="60">
        <v>187</v>
      </c>
      <c r="B1175" s="60" t="s">
        <v>119</v>
      </c>
      <c r="C1175" s="60">
        <v>141</v>
      </c>
      <c r="D1175" s="60">
        <v>13833540</v>
      </c>
      <c r="E1175" s="60">
        <f t="shared" si="18"/>
        <v>-13833540</v>
      </c>
    </row>
    <row r="1176" spans="1:5" x14ac:dyDescent="0.25">
      <c r="A1176" s="60">
        <v>187</v>
      </c>
      <c r="B1176" s="60" t="s">
        <v>119</v>
      </c>
      <c r="C1176" s="60">
        <v>200</v>
      </c>
      <c r="D1176" s="60">
        <v>58274</v>
      </c>
      <c r="E1176" s="60">
        <f t="shared" si="18"/>
        <v>-58274</v>
      </c>
    </row>
    <row r="1177" spans="1:5" x14ac:dyDescent="0.25">
      <c r="A1177" s="60">
        <v>187</v>
      </c>
      <c r="B1177" s="60" t="s">
        <v>119</v>
      </c>
      <c r="C1177" s="60">
        <v>210</v>
      </c>
      <c r="D1177" s="60">
        <v>19739</v>
      </c>
      <c r="E1177" s="60">
        <f t="shared" si="18"/>
        <v>-19739</v>
      </c>
    </row>
    <row r="1178" spans="1:5" x14ac:dyDescent="0.25">
      <c r="A1178" s="60">
        <v>187</v>
      </c>
      <c r="B1178" s="60" t="s">
        <v>119</v>
      </c>
      <c r="C1178" s="60">
        <v>220</v>
      </c>
      <c r="D1178" s="60">
        <v>0</v>
      </c>
      <c r="E1178" s="60">
        <f t="shared" si="18"/>
        <v>0</v>
      </c>
    </row>
    <row r="1179" spans="1:5" x14ac:dyDescent="0.25">
      <c r="A1179" s="60">
        <v>187</v>
      </c>
      <c r="B1179" s="60" t="s">
        <v>119</v>
      </c>
      <c r="C1179" s="60">
        <v>230</v>
      </c>
      <c r="D1179" s="60">
        <v>63276</v>
      </c>
      <c r="E1179" s="60">
        <f t="shared" si="18"/>
        <v>-63276</v>
      </c>
    </row>
    <row r="1180" spans="1:5" x14ac:dyDescent="0.25">
      <c r="A1180" s="60">
        <v>187</v>
      </c>
      <c r="B1180" s="60" t="s">
        <v>120</v>
      </c>
      <c r="C1180" s="60">
        <v>1</v>
      </c>
      <c r="D1180" s="60">
        <v>27786964</v>
      </c>
      <c r="E1180" s="60">
        <f t="shared" si="18"/>
        <v>27786964</v>
      </c>
    </row>
    <row r="1181" spans="1:5" x14ac:dyDescent="0.25">
      <c r="A1181" s="60">
        <v>187</v>
      </c>
      <c r="B1181" s="60" t="s">
        <v>120</v>
      </c>
      <c r="C1181" s="60">
        <v>10</v>
      </c>
      <c r="D1181" s="60">
        <v>28474920</v>
      </c>
      <c r="E1181" s="60">
        <f t="shared" si="18"/>
        <v>28474920</v>
      </c>
    </row>
    <row r="1182" spans="1:5" x14ac:dyDescent="0.25">
      <c r="A1182" s="60">
        <v>187</v>
      </c>
      <c r="B1182" s="60" t="s">
        <v>120</v>
      </c>
      <c r="C1182" s="60">
        <v>20</v>
      </c>
      <c r="D1182" s="60">
        <v>57114</v>
      </c>
      <c r="E1182" s="60">
        <f t="shared" si="18"/>
        <v>57114</v>
      </c>
    </row>
    <row r="1183" spans="1:5" x14ac:dyDescent="0.25">
      <c r="A1183" s="60">
        <v>187</v>
      </c>
      <c r="B1183" s="60" t="s">
        <v>120</v>
      </c>
      <c r="C1183" s="60">
        <v>50</v>
      </c>
      <c r="D1183" s="60">
        <v>3137380</v>
      </c>
      <c r="E1183" s="60">
        <f t="shared" si="18"/>
        <v>3137380</v>
      </c>
    </row>
    <row r="1184" spans="1:5" x14ac:dyDescent="0.25">
      <c r="A1184" s="60">
        <v>187</v>
      </c>
      <c r="B1184" s="60" t="s">
        <v>120</v>
      </c>
      <c r="C1184" s="60">
        <v>110</v>
      </c>
      <c r="D1184" s="60">
        <v>29430180</v>
      </c>
      <c r="E1184" s="60">
        <f t="shared" si="18"/>
        <v>-29430180</v>
      </c>
    </row>
    <row r="1185" spans="1:5" x14ac:dyDescent="0.25">
      <c r="A1185" s="60">
        <v>187</v>
      </c>
      <c r="B1185" s="60" t="s">
        <v>120</v>
      </c>
      <c r="C1185" s="60">
        <v>120</v>
      </c>
      <c r="D1185" s="60">
        <v>7280</v>
      </c>
      <c r="E1185" s="60">
        <f t="shared" si="18"/>
        <v>-7280</v>
      </c>
    </row>
    <row r="1186" spans="1:5" x14ac:dyDescent="0.25">
      <c r="A1186" s="60">
        <v>187</v>
      </c>
      <c r="B1186" s="60" t="s">
        <v>120</v>
      </c>
      <c r="C1186" s="60">
        <v>140</v>
      </c>
      <c r="D1186" s="60">
        <v>11939480</v>
      </c>
      <c r="E1186" s="60">
        <f t="shared" si="18"/>
        <v>-11939480</v>
      </c>
    </row>
    <row r="1187" spans="1:5" x14ac:dyDescent="0.25">
      <c r="A1187" s="60">
        <v>187</v>
      </c>
      <c r="B1187" s="60" t="s">
        <v>120</v>
      </c>
      <c r="C1187" s="60">
        <v>141</v>
      </c>
      <c r="D1187" s="60">
        <v>170560</v>
      </c>
      <c r="E1187" s="60">
        <f t="shared" si="18"/>
        <v>-170560</v>
      </c>
    </row>
    <row r="1188" spans="1:5" x14ac:dyDescent="0.25">
      <c r="A1188" s="60">
        <v>187</v>
      </c>
      <c r="B1188" s="60" t="s">
        <v>120</v>
      </c>
      <c r="C1188" s="60">
        <v>200</v>
      </c>
      <c r="D1188" s="60">
        <v>284538</v>
      </c>
      <c r="E1188" s="60">
        <f t="shared" si="18"/>
        <v>-284538</v>
      </c>
    </row>
    <row r="1189" spans="1:5" x14ac:dyDescent="0.25">
      <c r="A1189" s="60">
        <v>187</v>
      </c>
      <c r="B1189" s="60" t="s">
        <v>120</v>
      </c>
      <c r="C1189" s="60">
        <v>210</v>
      </c>
      <c r="D1189" s="60">
        <v>9899</v>
      </c>
      <c r="E1189" s="60">
        <f t="shared" si="18"/>
        <v>-9899</v>
      </c>
    </row>
    <row r="1190" spans="1:5" x14ac:dyDescent="0.25">
      <c r="A1190" s="60">
        <v>187</v>
      </c>
      <c r="B1190" s="60" t="s">
        <v>120</v>
      </c>
      <c r="C1190" s="60">
        <v>220</v>
      </c>
      <c r="D1190" s="60">
        <v>0</v>
      </c>
      <c r="E1190" s="60">
        <f t="shared" si="18"/>
        <v>0</v>
      </c>
    </row>
    <row r="1191" spans="1:5" x14ac:dyDescent="0.25">
      <c r="A1191" s="60">
        <v>187</v>
      </c>
      <c r="B1191" s="60" t="s">
        <v>120</v>
      </c>
      <c r="C1191" s="60">
        <v>230</v>
      </c>
      <c r="D1191" s="60">
        <v>124723</v>
      </c>
      <c r="E1191" s="60">
        <f t="shared" si="18"/>
        <v>-124723</v>
      </c>
    </row>
    <row r="1192" spans="1:5" x14ac:dyDescent="0.25">
      <c r="A1192" s="60">
        <v>188</v>
      </c>
      <c r="B1192" s="60" t="s">
        <v>117</v>
      </c>
      <c r="C1192" s="60">
        <v>1</v>
      </c>
      <c r="D1192" s="60">
        <v>54530141</v>
      </c>
      <c r="E1192" s="60">
        <f t="shared" si="18"/>
        <v>54530141</v>
      </c>
    </row>
    <row r="1193" spans="1:5" x14ac:dyDescent="0.25">
      <c r="A1193" s="60">
        <v>188</v>
      </c>
      <c r="B1193" s="60" t="s">
        <v>117</v>
      </c>
      <c r="C1193" s="60">
        <v>10</v>
      </c>
      <c r="D1193" s="60">
        <v>0</v>
      </c>
      <c r="E1193" s="60">
        <f t="shared" si="18"/>
        <v>0</v>
      </c>
    </row>
    <row r="1194" spans="1:5" x14ac:dyDescent="0.25">
      <c r="A1194" s="60">
        <v>188</v>
      </c>
      <c r="B1194" s="60" t="s">
        <v>117</v>
      </c>
      <c r="C1194" s="60">
        <v>50</v>
      </c>
      <c r="D1194" s="60">
        <v>0</v>
      </c>
      <c r="E1194" s="60">
        <f t="shared" si="18"/>
        <v>0</v>
      </c>
    </row>
    <row r="1195" spans="1:5" x14ac:dyDescent="0.25">
      <c r="A1195" s="60">
        <v>188</v>
      </c>
      <c r="B1195" s="60" t="s">
        <v>117</v>
      </c>
      <c r="C1195" s="60">
        <v>70</v>
      </c>
      <c r="D1195" s="60">
        <v>-459561</v>
      </c>
      <c r="E1195" s="60">
        <f t="shared" si="18"/>
        <v>-459561</v>
      </c>
    </row>
    <row r="1196" spans="1:5" x14ac:dyDescent="0.25">
      <c r="A1196" s="60">
        <v>188</v>
      </c>
      <c r="B1196" s="60" t="s">
        <v>117</v>
      </c>
      <c r="C1196" s="60">
        <v>100</v>
      </c>
      <c r="D1196" s="60">
        <v>0</v>
      </c>
      <c r="E1196" s="60">
        <f t="shared" si="18"/>
        <v>0</v>
      </c>
    </row>
    <row r="1197" spans="1:5" x14ac:dyDescent="0.25">
      <c r="A1197" s="60">
        <v>188</v>
      </c>
      <c r="B1197" s="60" t="s">
        <v>117</v>
      </c>
      <c r="C1197" s="60">
        <v>110</v>
      </c>
      <c r="D1197" s="60">
        <v>1417780</v>
      </c>
      <c r="E1197" s="60">
        <f t="shared" si="18"/>
        <v>-1417780</v>
      </c>
    </row>
    <row r="1198" spans="1:5" x14ac:dyDescent="0.25">
      <c r="A1198" s="60">
        <v>188</v>
      </c>
      <c r="B1198" s="60" t="s">
        <v>117</v>
      </c>
      <c r="C1198" s="60">
        <v>140</v>
      </c>
      <c r="D1198" s="60">
        <v>14352000</v>
      </c>
      <c r="E1198" s="60">
        <f t="shared" si="18"/>
        <v>-14352000</v>
      </c>
    </row>
    <row r="1199" spans="1:5" x14ac:dyDescent="0.25">
      <c r="A1199" s="60">
        <v>188</v>
      </c>
      <c r="B1199" s="60" t="s">
        <v>117</v>
      </c>
      <c r="C1199" s="60">
        <v>141</v>
      </c>
      <c r="D1199" s="60">
        <v>38300800</v>
      </c>
      <c r="E1199" s="60">
        <f t="shared" si="18"/>
        <v>-38300800</v>
      </c>
    </row>
    <row r="1200" spans="1:5" x14ac:dyDescent="0.25">
      <c r="A1200" s="60">
        <v>188</v>
      </c>
      <c r="B1200" s="60" t="s">
        <v>117</v>
      </c>
      <c r="C1200" s="60">
        <v>200</v>
      </c>
      <c r="D1200" s="60">
        <v>0</v>
      </c>
      <c r="E1200" s="60">
        <f t="shared" si="18"/>
        <v>0</v>
      </c>
    </row>
    <row r="1201" spans="1:5" x14ac:dyDescent="0.25">
      <c r="A1201" s="60">
        <v>188</v>
      </c>
      <c r="B1201" s="60" t="s">
        <v>117</v>
      </c>
      <c r="C1201" s="60">
        <v>210</v>
      </c>
      <c r="D1201" s="60">
        <v>0</v>
      </c>
      <c r="E1201" s="60">
        <f t="shared" si="18"/>
        <v>0</v>
      </c>
    </row>
    <row r="1202" spans="1:5" x14ac:dyDescent="0.25">
      <c r="A1202" s="60">
        <v>188</v>
      </c>
      <c r="B1202" s="60" t="s">
        <v>119</v>
      </c>
      <c r="C1202" s="60">
        <v>10</v>
      </c>
      <c r="D1202" s="60">
        <v>0</v>
      </c>
      <c r="E1202" s="60">
        <f t="shared" si="18"/>
        <v>0</v>
      </c>
    </row>
    <row r="1203" spans="1:5" x14ac:dyDescent="0.25">
      <c r="A1203" s="60">
        <v>188</v>
      </c>
      <c r="B1203" s="60" t="s">
        <v>120</v>
      </c>
      <c r="C1203" s="60">
        <v>10</v>
      </c>
      <c r="D1203" s="60">
        <v>1836940</v>
      </c>
      <c r="E1203" s="60">
        <f t="shared" si="18"/>
        <v>1836940</v>
      </c>
    </row>
    <row r="1204" spans="1:5" x14ac:dyDescent="0.25">
      <c r="A1204" s="60">
        <v>188</v>
      </c>
      <c r="B1204" s="60" t="s">
        <v>120</v>
      </c>
      <c r="C1204" s="60">
        <v>50</v>
      </c>
      <c r="D1204" s="60">
        <v>49152080</v>
      </c>
      <c r="E1204" s="60">
        <f t="shared" si="18"/>
        <v>49152080</v>
      </c>
    </row>
    <row r="1205" spans="1:5" x14ac:dyDescent="0.25">
      <c r="A1205" s="60">
        <v>188</v>
      </c>
      <c r="B1205" s="60" t="s">
        <v>120</v>
      </c>
      <c r="C1205" s="60">
        <v>200</v>
      </c>
      <c r="D1205" s="60">
        <v>18369</v>
      </c>
      <c r="E1205" s="60">
        <f t="shared" si="18"/>
        <v>-18369</v>
      </c>
    </row>
    <row r="1206" spans="1:5" x14ac:dyDescent="0.25">
      <c r="A1206" s="60">
        <v>188</v>
      </c>
      <c r="B1206" s="60" t="s">
        <v>120</v>
      </c>
      <c r="C1206" s="60">
        <v>210</v>
      </c>
      <c r="D1206" s="60">
        <v>27945</v>
      </c>
      <c r="E1206" s="60">
        <f t="shared" si="18"/>
        <v>-27945</v>
      </c>
    </row>
    <row r="1207" spans="1:5" x14ac:dyDescent="0.25">
      <c r="A1207" s="60">
        <v>188</v>
      </c>
      <c r="B1207" s="60" t="s">
        <v>120</v>
      </c>
      <c r="C1207" s="60">
        <v>230</v>
      </c>
      <c r="D1207" s="60">
        <v>4096</v>
      </c>
      <c r="E1207" s="60">
        <f t="shared" si="18"/>
        <v>-4096</v>
      </c>
    </row>
    <row r="1208" spans="1:5" x14ac:dyDescent="0.25">
      <c r="A1208" s="60">
        <v>190</v>
      </c>
      <c r="B1208" s="60" t="s">
        <v>117</v>
      </c>
      <c r="C1208" s="60">
        <v>1</v>
      </c>
      <c r="D1208" s="60">
        <v>24832228</v>
      </c>
      <c r="E1208" s="60">
        <f t="shared" si="18"/>
        <v>24832228</v>
      </c>
    </row>
    <row r="1209" spans="1:5" x14ac:dyDescent="0.25">
      <c r="A1209" s="60">
        <v>190</v>
      </c>
      <c r="B1209" s="60" t="s">
        <v>117</v>
      </c>
      <c r="C1209" s="60">
        <v>10</v>
      </c>
      <c r="D1209" s="60">
        <v>15885440</v>
      </c>
      <c r="E1209" s="60">
        <f t="shared" si="18"/>
        <v>15885440</v>
      </c>
    </row>
    <row r="1210" spans="1:5" x14ac:dyDescent="0.25">
      <c r="A1210" s="60">
        <v>190</v>
      </c>
      <c r="B1210" s="60" t="s">
        <v>117</v>
      </c>
      <c r="C1210" s="60">
        <v>50</v>
      </c>
      <c r="D1210" s="60">
        <v>6449220</v>
      </c>
      <c r="E1210" s="60">
        <f t="shared" si="18"/>
        <v>6449220</v>
      </c>
    </row>
    <row r="1211" spans="1:5" x14ac:dyDescent="0.25">
      <c r="A1211" s="60">
        <v>190</v>
      </c>
      <c r="B1211" s="60" t="s">
        <v>117</v>
      </c>
      <c r="C1211" s="60">
        <v>70</v>
      </c>
      <c r="D1211" s="60">
        <v>0</v>
      </c>
      <c r="E1211" s="60">
        <f t="shared" si="18"/>
        <v>0</v>
      </c>
    </row>
    <row r="1212" spans="1:5" x14ac:dyDescent="0.25">
      <c r="A1212" s="60">
        <v>190</v>
      </c>
      <c r="B1212" s="60" t="s">
        <v>117</v>
      </c>
      <c r="C1212" s="60">
        <v>110</v>
      </c>
      <c r="D1212" s="60">
        <v>0</v>
      </c>
      <c r="E1212" s="60">
        <f t="shared" si="18"/>
        <v>0</v>
      </c>
    </row>
    <row r="1213" spans="1:5" x14ac:dyDescent="0.25">
      <c r="A1213" s="60">
        <v>190</v>
      </c>
      <c r="B1213" s="60" t="s">
        <v>117</v>
      </c>
      <c r="C1213" s="60">
        <v>130</v>
      </c>
      <c r="D1213" s="60">
        <v>0</v>
      </c>
      <c r="E1213" s="60">
        <f t="shared" si="18"/>
        <v>0</v>
      </c>
    </row>
    <row r="1214" spans="1:5" x14ac:dyDescent="0.25">
      <c r="A1214" s="60">
        <v>190</v>
      </c>
      <c r="B1214" s="60" t="s">
        <v>117</v>
      </c>
      <c r="C1214" s="60">
        <v>140</v>
      </c>
      <c r="D1214" s="60">
        <v>0</v>
      </c>
      <c r="E1214" s="60">
        <f t="shared" si="18"/>
        <v>0</v>
      </c>
    </row>
    <row r="1215" spans="1:5" x14ac:dyDescent="0.25">
      <c r="A1215" s="60">
        <v>190</v>
      </c>
      <c r="B1215" s="60" t="s">
        <v>117</v>
      </c>
      <c r="C1215" s="60">
        <v>200</v>
      </c>
      <c r="D1215" s="60">
        <v>79427</v>
      </c>
      <c r="E1215" s="60">
        <f t="shared" si="18"/>
        <v>-79427</v>
      </c>
    </row>
    <row r="1216" spans="1:5" x14ac:dyDescent="0.25">
      <c r="A1216" s="60">
        <v>190</v>
      </c>
      <c r="B1216" s="60" t="s">
        <v>117</v>
      </c>
      <c r="C1216" s="60">
        <v>210</v>
      </c>
      <c r="D1216" s="60">
        <v>108901</v>
      </c>
      <c r="E1216" s="60">
        <f t="shared" si="18"/>
        <v>-108901</v>
      </c>
    </row>
    <row r="1217" spans="1:5" x14ac:dyDescent="0.25">
      <c r="A1217" s="60">
        <v>190</v>
      </c>
      <c r="B1217" s="60" t="s">
        <v>118</v>
      </c>
      <c r="C1217" s="60">
        <v>1</v>
      </c>
      <c r="D1217" s="60">
        <v>0</v>
      </c>
      <c r="E1217" s="60">
        <f t="shared" si="18"/>
        <v>0</v>
      </c>
    </row>
    <row r="1218" spans="1:5" x14ac:dyDescent="0.25">
      <c r="A1218" s="60">
        <v>190</v>
      </c>
      <c r="B1218" s="60" t="s">
        <v>118</v>
      </c>
      <c r="C1218" s="60">
        <v>10</v>
      </c>
      <c r="D1218" s="60">
        <v>0</v>
      </c>
      <c r="E1218" s="60">
        <f t="shared" ref="E1218:E1281" si="19">IF(C1218&lt;100,D1218,D1218*-1)</f>
        <v>0</v>
      </c>
    </row>
    <row r="1219" spans="1:5" x14ac:dyDescent="0.25">
      <c r="A1219" s="60">
        <v>190</v>
      </c>
      <c r="B1219" s="60" t="s">
        <v>118</v>
      </c>
      <c r="C1219" s="60">
        <v>50</v>
      </c>
      <c r="D1219" s="60">
        <v>0</v>
      </c>
      <c r="E1219" s="60">
        <f t="shared" si="19"/>
        <v>0</v>
      </c>
    </row>
    <row r="1220" spans="1:5" x14ac:dyDescent="0.25">
      <c r="A1220" s="60">
        <v>190</v>
      </c>
      <c r="B1220" s="60" t="s">
        <v>118</v>
      </c>
      <c r="C1220" s="60">
        <v>70</v>
      </c>
      <c r="D1220" s="60">
        <v>0</v>
      </c>
      <c r="E1220" s="60">
        <f t="shared" si="19"/>
        <v>0</v>
      </c>
    </row>
    <row r="1221" spans="1:5" x14ac:dyDescent="0.25">
      <c r="A1221" s="60">
        <v>190</v>
      </c>
      <c r="B1221" s="60" t="s">
        <v>118</v>
      </c>
      <c r="C1221" s="60">
        <v>110</v>
      </c>
      <c r="D1221" s="60">
        <v>0</v>
      </c>
      <c r="E1221" s="60">
        <f t="shared" si="19"/>
        <v>0</v>
      </c>
    </row>
    <row r="1222" spans="1:5" x14ac:dyDescent="0.25">
      <c r="A1222" s="60">
        <v>190</v>
      </c>
      <c r="B1222" s="60" t="s">
        <v>118</v>
      </c>
      <c r="C1222" s="60">
        <v>130</v>
      </c>
      <c r="D1222" s="60">
        <v>0</v>
      </c>
      <c r="E1222" s="60">
        <f t="shared" si="19"/>
        <v>0</v>
      </c>
    </row>
    <row r="1223" spans="1:5" x14ac:dyDescent="0.25">
      <c r="A1223" s="60">
        <v>190</v>
      </c>
      <c r="B1223" s="60" t="s">
        <v>118</v>
      </c>
      <c r="C1223" s="60">
        <v>140</v>
      </c>
      <c r="D1223" s="60">
        <v>0</v>
      </c>
      <c r="E1223" s="60">
        <f t="shared" si="19"/>
        <v>0</v>
      </c>
    </row>
    <row r="1224" spans="1:5" x14ac:dyDescent="0.25">
      <c r="A1224" s="60">
        <v>190</v>
      </c>
      <c r="B1224" s="60" t="s">
        <v>118</v>
      </c>
      <c r="C1224" s="60">
        <v>200</v>
      </c>
      <c r="D1224" s="60">
        <v>0</v>
      </c>
      <c r="E1224" s="60">
        <f t="shared" si="19"/>
        <v>0</v>
      </c>
    </row>
    <row r="1225" spans="1:5" x14ac:dyDescent="0.25">
      <c r="A1225" s="60">
        <v>190</v>
      </c>
      <c r="B1225" s="60" t="s">
        <v>118</v>
      </c>
      <c r="C1225" s="60">
        <v>230</v>
      </c>
      <c r="D1225" s="60">
        <v>0</v>
      </c>
      <c r="E1225" s="60">
        <f t="shared" si="19"/>
        <v>0</v>
      </c>
    </row>
    <row r="1226" spans="1:5" x14ac:dyDescent="0.25">
      <c r="A1226" s="60">
        <v>190</v>
      </c>
      <c r="B1226" s="60" t="s">
        <v>119</v>
      </c>
      <c r="C1226" s="60">
        <v>10</v>
      </c>
      <c r="D1226" s="60">
        <v>0</v>
      </c>
      <c r="E1226" s="60">
        <f t="shared" si="19"/>
        <v>0</v>
      </c>
    </row>
    <row r="1227" spans="1:5" x14ac:dyDescent="0.25">
      <c r="A1227" s="60">
        <v>190</v>
      </c>
      <c r="B1227" s="60" t="s">
        <v>119</v>
      </c>
      <c r="C1227" s="60">
        <v>210</v>
      </c>
      <c r="D1227" s="60">
        <v>0</v>
      </c>
      <c r="E1227" s="60">
        <f t="shared" si="19"/>
        <v>0</v>
      </c>
    </row>
    <row r="1228" spans="1:5" x14ac:dyDescent="0.25">
      <c r="A1228" s="60">
        <v>190</v>
      </c>
      <c r="B1228" s="60" t="s">
        <v>119</v>
      </c>
      <c r="C1228" s="60">
        <v>230</v>
      </c>
      <c r="D1228" s="60">
        <v>0</v>
      </c>
      <c r="E1228" s="60">
        <f t="shared" si="19"/>
        <v>0</v>
      </c>
    </row>
    <row r="1229" spans="1:5" x14ac:dyDescent="0.25">
      <c r="A1229" s="60">
        <v>190</v>
      </c>
      <c r="B1229" s="60" t="s">
        <v>120</v>
      </c>
      <c r="C1229" s="60">
        <v>1</v>
      </c>
      <c r="D1229" s="60">
        <v>0</v>
      </c>
      <c r="E1229" s="60">
        <f t="shared" si="19"/>
        <v>0</v>
      </c>
    </row>
    <row r="1230" spans="1:5" x14ac:dyDescent="0.25">
      <c r="A1230" s="60">
        <v>190</v>
      </c>
      <c r="B1230" s="60" t="s">
        <v>120</v>
      </c>
      <c r="C1230" s="60">
        <v>10</v>
      </c>
      <c r="D1230" s="60">
        <v>0</v>
      </c>
      <c r="E1230" s="60">
        <f t="shared" si="19"/>
        <v>0</v>
      </c>
    </row>
    <row r="1231" spans="1:5" x14ac:dyDescent="0.25">
      <c r="A1231" s="60">
        <v>190</v>
      </c>
      <c r="B1231" s="60" t="s">
        <v>120</v>
      </c>
      <c r="C1231" s="60">
        <v>50</v>
      </c>
      <c r="D1231" s="60">
        <v>0</v>
      </c>
      <c r="E1231" s="60">
        <f t="shared" si="19"/>
        <v>0</v>
      </c>
    </row>
    <row r="1232" spans="1:5" x14ac:dyDescent="0.25">
      <c r="A1232" s="60">
        <v>190</v>
      </c>
      <c r="B1232" s="60" t="s">
        <v>120</v>
      </c>
      <c r="C1232" s="60">
        <v>70</v>
      </c>
      <c r="D1232" s="60">
        <v>0</v>
      </c>
      <c r="E1232" s="60">
        <f t="shared" si="19"/>
        <v>0</v>
      </c>
    </row>
    <row r="1233" spans="1:5" x14ac:dyDescent="0.25">
      <c r="A1233" s="60">
        <v>190</v>
      </c>
      <c r="B1233" s="60" t="s">
        <v>120</v>
      </c>
      <c r="C1233" s="60">
        <v>110</v>
      </c>
      <c r="D1233" s="60">
        <v>0</v>
      </c>
      <c r="E1233" s="60">
        <f t="shared" si="19"/>
        <v>0</v>
      </c>
    </row>
    <row r="1234" spans="1:5" x14ac:dyDescent="0.25">
      <c r="A1234" s="60">
        <v>190</v>
      </c>
      <c r="B1234" s="60" t="s">
        <v>120</v>
      </c>
      <c r="C1234" s="60">
        <v>140</v>
      </c>
      <c r="D1234" s="60">
        <v>0</v>
      </c>
      <c r="E1234" s="60">
        <f t="shared" si="19"/>
        <v>0</v>
      </c>
    </row>
    <row r="1235" spans="1:5" x14ac:dyDescent="0.25">
      <c r="A1235" s="60">
        <v>190</v>
      </c>
      <c r="B1235" s="60" t="s">
        <v>120</v>
      </c>
      <c r="C1235" s="60">
        <v>200</v>
      </c>
      <c r="D1235" s="60">
        <v>0</v>
      </c>
      <c r="E1235" s="60">
        <f t="shared" si="19"/>
        <v>0</v>
      </c>
    </row>
    <row r="1236" spans="1:5" x14ac:dyDescent="0.25">
      <c r="A1236" s="60">
        <v>190</v>
      </c>
      <c r="B1236" s="60" t="s">
        <v>120</v>
      </c>
      <c r="C1236" s="60">
        <v>210</v>
      </c>
      <c r="D1236" s="60">
        <v>0</v>
      </c>
      <c r="E1236" s="60">
        <f t="shared" si="19"/>
        <v>0</v>
      </c>
    </row>
    <row r="1237" spans="1:5" x14ac:dyDescent="0.25">
      <c r="A1237" s="60">
        <v>190</v>
      </c>
      <c r="B1237" s="60" t="s">
        <v>120</v>
      </c>
      <c r="C1237" s="60">
        <v>220</v>
      </c>
      <c r="D1237" s="60">
        <v>0</v>
      </c>
      <c r="E1237" s="60">
        <f t="shared" si="19"/>
        <v>0</v>
      </c>
    </row>
    <row r="1238" spans="1:5" x14ac:dyDescent="0.25">
      <c r="A1238" s="60">
        <v>190</v>
      </c>
      <c r="B1238" s="60" t="s">
        <v>120</v>
      </c>
      <c r="C1238" s="60">
        <v>230</v>
      </c>
      <c r="D1238" s="60">
        <v>0</v>
      </c>
      <c r="E1238" s="60">
        <f t="shared" si="19"/>
        <v>0</v>
      </c>
    </row>
    <row r="1239" spans="1:5" x14ac:dyDescent="0.25">
      <c r="A1239" s="60">
        <v>191</v>
      </c>
      <c r="B1239" s="60" t="s">
        <v>117</v>
      </c>
      <c r="C1239" s="60">
        <v>1</v>
      </c>
      <c r="D1239" s="60">
        <v>5978984</v>
      </c>
      <c r="E1239" s="60">
        <f t="shared" si="19"/>
        <v>5978984</v>
      </c>
    </row>
    <row r="1240" spans="1:5" x14ac:dyDescent="0.25">
      <c r="A1240" s="60">
        <v>191</v>
      </c>
      <c r="B1240" s="60" t="s">
        <v>117</v>
      </c>
      <c r="C1240" s="60">
        <v>10</v>
      </c>
      <c r="D1240" s="60">
        <v>25406140</v>
      </c>
      <c r="E1240" s="60">
        <f t="shared" si="19"/>
        <v>25406140</v>
      </c>
    </row>
    <row r="1241" spans="1:5" x14ac:dyDescent="0.25">
      <c r="A1241" s="60">
        <v>191</v>
      </c>
      <c r="B1241" s="60" t="s">
        <v>117</v>
      </c>
      <c r="C1241" s="60">
        <v>15</v>
      </c>
      <c r="D1241" s="60">
        <v>0</v>
      </c>
      <c r="E1241" s="60">
        <f t="shared" si="19"/>
        <v>0</v>
      </c>
    </row>
    <row r="1242" spans="1:5" x14ac:dyDescent="0.25">
      <c r="A1242" s="60">
        <v>191</v>
      </c>
      <c r="B1242" s="60" t="s">
        <v>117</v>
      </c>
      <c r="C1242" s="60">
        <v>20</v>
      </c>
      <c r="D1242" s="60">
        <v>0</v>
      </c>
      <c r="E1242" s="60">
        <f t="shared" si="19"/>
        <v>0</v>
      </c>
    </row>
    <row r="1243" spans="1:5" x14ac:dyDescent="0.25">
      <c r="A1243" s="60">
        <v>191</v>
      </c>
      <c r="B1243" s="60" t="s">
        <v>117</v>
      </c>
      <c r="C1243" s="60">
        <v>50</v>
      </c>
      <c r="D1243" s="60">
        <v>1493580</v>
      </c>
      <c r="E1243" s="60">
        <f t="shared" si="19"/>
        <v>1493580</v>
      </c>
    </row>
    <row r="1244" spans="1:5" x14ac:dyDescent="0.25">
      <c r="A1244" s="60">
        <v>191</v>
      </c>
      <c r="B1244" s="60" t="s">
        <v>117</v>
      </c>
      <c r="C1244" s="60">
        <v>70</v>
      </c>
      <c r="D1244" s="60">
        <v>0</v>
      </c>
      <c r="E1244" s="60">
        <f t="shared" si="19"/>
        <v>0</v>
      </c>
    </row>
    <row r="1245" spans="1:5" x14ac:dyDescent="0.25">
      <c r="A1245" s="60">
        <v>191</v>
      </c>
      <c r="B1245" s="60" t="s">
        <v>117</v>
      </c>
      <c r="C1245" s="60">
        <v>100</v>
      </c>
      <c r="D1245" s="60">
        <v>0</v>
      </c>
      <c r="E1245" s="60">
        <f t="shared" si="19"/>
        <v>0</v>
      </c>
    </row>
    <row r="1246" spans="1:5" x14ac:dyDescent="0.25">
      <c r="A1246" s="60">
        <v>191</v>
      </c>
      <c r="B1246" s="60" t="s">
        <v>117</v>
      </c>
      <c r="C1246" s="60">
        <v>110</v>
      </c>
      <c r="D1246" s="60">
        <v>0</v>
      </c>
      <c r="E1246" s="60">
        <f t="shared" si="19"/>
        <v>0</v>
      </c>
    </row>
    <row r="1247" spans="1:5" x14ac:dyDescent="0.25">
      <c r="A1247" s="60">
        <v>191</v>
      </c>
      <c r="B1247" s="60" t="s">
        <v>117</v>
      </c>
      <c r="C1247" s="60">
        <v>120</v>
      </c>
      <c r="D1247" s="60">
        <v>8560</v>
      </c>
      <c r="E1247" s="60">
        <f t="shared" si="19"/>
        <v>-8560</v>
      </c>
    </row>
    <row r="1248" spans="1:5" x14ac:dyDescent="0.25">
      <c r="A1248" s="60">
        <v>191</v>
      </c>
      <c r="B1248" s="60" t="s">
        <v>117</v>
      </c>
      <c r="C1248" s="60">
        <v>130</v>
      </c>
      <c r="D1248" s="60">
        <v>0</v>
      </c>
      <c r="E1248" s="60">
        <f t="shared" si="19"/>
        <v>0</v>
      </c>
    </row>
    <row r="1249" spans="1:5" x14ac:dyDescent="0.25">
      <c r="A1249" s="60">
        <v>191</v>
      </c>
      <c r="B1249" s="60" t="s">
        <v>117</v>
      </c>
      <c r="C1249" s="60">
        <v>140</v>
      </c>
      <c r="D1249" s="60">
        <v>6505000</v>
      </c>
      <c r="E1249" s="60">
        <f t="shared" si="19"/>
        <v>-6505000</v>
      </c>
    </row>
    <row r="1250" spans="1:5" x14ac:dyDescent="0.25">
      <c r="A1250" s="60">
        <v>191</v>
      </c>
      <c r="B1250" s="60" t="s">
        <v>117</v>
      </c>
      <c r="C1250" s="60">
        <v>200</v>
      </c>
      <c r="D1250" s="60">
        <v>126047</v>
      </c>
      <c r="E1250" s="60">
        <f t="shared" si="19"/>
        <v>-126047</v>
      </c>
    </row>
    <row r="1251" spans="1:5" x14ac:dyDescent="0.25">
      <c r="A1251" s="60">
        <v>191</v>
      </c>
      <c r="B1251" s="60" t="s">
        <v>117</v>
      </c>
      <c r="C1251" s="60">
        <v>210</v>
      </c>
      <c r="D1251" s="60">
        <v>201849</v>
      </c>
      <c r="E1251" s="60">
        <f t="shared" si="19"/>
        <v>-201849</v>
      </c>
    </row>
    <row r="1252" spans="1:5" x14ac:dyDescent="0.25">
      <c r="A1252" s="60">
        <v>191</v>
      </c>
      <c r="B1252" s="60" t="s">
        <v>118</v>
      </c>
      <c r="C1252" s="60">
        <v>1</v>
      </c>
      <c r="D1252" s="60">
        <v>2341338</v>
      </c>
      <c r="E1252" s="60">
        <f t="shared" si="19"/>
        <v>2341338</v>
      </c>
    </row>
    <row r="1253" spans="1:5" x14ac:dyDescent="0.25">
      <c r="A1253" s="60">
        <v>191</v>
      </c>
      <c r="B1253" s="60" t="s">
        <v>118</v>
      </c>
      <c r="C1253" s="60">
        <v>10</v>
      </c>
      <c r="D1253" s="60">
        <v>18232720</v>
      </c>
      <c r="E1253" s="60">
        <f t="shared" si="19"/>
        <v>18232720</v>
      </c>
    </row>
    <row r="1254" spans="1:5" x14ac:dyDescent="0.25">
      <c r="A1254" s="60">
        <v>191</v>
      </c>
      <c r="B1254" s="60" t="s">
        <v>118</v>
      </c>
      <c r="C1254" s="60">
        <v>20</v>
      </c>
      <c r="D1254" s="60">
        <v>398783</v>
      </c>
      <c r="E1254" s="60">
        <f t="shared" si="19"/>
        <v>398783</v>
      </c>
    </row>
    <row r="1255" spans="1:5" x14ac:dyDescent="0.25">
      <c r="A1255" s="60">
        <v>191</v>
      </c>
      <c r="B1255" s="60" t="s">
        <v>118</v>
      </c>
      <c r="C1255" s="60">
        <v>50</v>
      </c>
      <c r="D1255" s="60">
        <v>0</v>
      </c>
      <c r="E1255" s="60">
        <f t="shared" si="19"/>
        <v>0</v>
      </c>
    </row>
    <row r="1256" spans="1:5" x14ac:dyDescent="0.25">
      <c r="A1256" s="60">
        <v>191</v>
      </c>
      <c r="B1256" s="60" t="s">
        <v>118</v>
      </c>
      <c r="C1256" s="60">
        <v>70</v>
      </c>
      <c r="D1256" s="60">
        <v>0</v>
      </c>
      <c r="E1256" s="60">
        <f t="shared" si="19"/>
        <v>0</v>
      </c>
    </row>
    <row r="1257" spans="1:5" x14ac:dyDescent="0.25">
      <c r="A1257" s="60">
        <v>191</v>
      </c>
      <c r="B1257" s="60" t="s">
        <v>118</v>
      </c>
      <c r="C1257" s="60">
        <v>100</v>
      </c>
      <c r="D1257" s="60">
        <v>0</v>
      </c>
      <c r="E1257" s="60">
        <f t="shared" si="19"/>
        <v>0</v>
      </c>
    </row>
    <row r="1258" spans="1:5" x14ac:dyDescent="0.25">
      <c r="A1258" s="60">
        <v>191</v>
      </c>
      <c r="B1258" s="60" t="s">
        <v>118</v>
      </c>
      <c r="C1258" s="60">
        <v>110</v>
      </c>
      <c r="D1258" s="60">
        <v>211160</v>
      </c>
      <c r="E1258" s="60">
        <f t="shared" si="19"/>
        <v>-211160</v>
      </c>
    </row>
    <row r="1259" spans="1:5" x14ac:dyDescent="0.25">
      <c r="A1259" s="60">
        <v>191</v>
      </c>
      <c r="B1259" s="60" t="s">
        <v>118</v>
      </c>
      <c r="C1259" s="60">
        <v>120</v>
      </c>
      <c r="D1259" s="60">
        <v>0</v>
      </c>
      <c r="E1259" s="60">
        <f t="shared" si="19"/>
        <v>0</v>
      </c>
    </row>
    <row r="1260" spans="1:5" x14ac:dyDescent="0.25">
      <c r="A1260" s="60">
        <v>191</v>
      </c>
      <c r="B1260" s="60" t="s">
        <v>118</v>
      </c>
      <c r="C1260" s="60">
        <v>130</v>
      </c>
      <c r="D1260" s="60">
        <v>0</v>
      </c>
      <c r="E1260" s="60">
        <f t="shared" si="19"/>
        <v>0</v>
      </c>
    </row>
    <row r="1261" spans="1:5" x14ac:dyDescent="0.25">
      <c r="A1261" s="60">
        <v>191</v>
      </c>
      <c r="B1261" s="60" t="s">
        <v>118</v>
      </c>
      <c r="C1261" s="60">
        <v>140</v>
      </c>
      <c r="D1261" s="60">
        <v>38240</v>
      </c>
      <c r="E1261" s="60">
        <f t="shared" si="19"/>
        <v>-38240</v>
      </c>
    </row>
    <row r="1262" spans="1:5" x14ac:dyDescent="0.25">
      <c r="A1262" s="60">
        <v>191</v>
      </c>
      <c r="B1262" s="60" t="s">
        <v>118</v>
      </c>
      <c r="C1262" s="60">
        <v>141</v>
      </c>
      <c r="D1262" s="60">
        <v>20169340</v>
      </c>
      <c r="E1262" s="60">
        <f t="shared" si="19"/>
        <v>-20169340</v>
      </c>
    </row>
    <row r="1263" spans="1:5" x14ac:dyDescent="0.25">
      <c r="A1263" s="60">
        <v>191</v>
      </c>
      <c r="B1263" s="60" t="s">
        <v>118</v>
      </c>
      <c r="C1263" s="60">
        <v>150</v>
      </c>
      <c r="D1263" s="60">
        <v>0</v>
      </c>
      <c r="E1263" s="60">
        <f t="shared" si="19"/>
        <v>0</v>
      </c>
    </row>
    <row r="1264" spans="1:5" x14ac:dyDescent="0.25">
      <c r="A1264" s="60">
        <v>191</v>
      </c>
      <c r="B1264" s="60" t="s">
        <v>118</v>
      </c>
      <c r="C1264" s="60">
        <v>200</v>
      </c>
      <c r="D1264" s="60">
        <v>90927</v>
      </c>
      <c r="E1264" s="60">
        <f t="shared" si="19"/>
        <v>-90927</v>
      </c>
    </row>
    <row r="1265" spans="1:5" x14ac:dyDescent="0.25">
      <c r="A1265" s="60">
        <v>191</v>
      </c>
      <c r="B1265" s="60" t="s">
        <v>118</v>
      </c>
      <c r="C1265" s="60">
        <v>210</v>
      </c>
      <c r="D1265" s="60">
        <v>0</v>
      </c>
      <c r="E1265" s="60">
        <f t="shared" si="19"/>
        <v>0</v>
      </c>
    </row>
    <row r="1266" spans="1:5" x14ac:dyDescent="0.25">
      <c r="A1266" s="60">
        <v>191</v>
      </c>
      <c r="B1266" s="60" t="s">
        <v>118</v>
      </c>
      <c r="C1266" s="60">
        <v>220</v>
      </c>
      <c r="D1266" s="60">
        <v>0</v>
      </c>
      <c r="E1266" s="60">
        <f t="shared" si="19"/>
        <v>0</v>
      </c>
    </row>
    <row r="1267" spans="1:5" x14ac:dyDescent="0.25">
      <c r="A1267" s="60">
        <v>191</v>
      </c>
      <c r="B1267" s="60" t="s">
        <v>118</v>
      </c>
      <c r="C1267" s="60">
        <v>230</v>
      </c>
      <c r="D1267" s="60">
        <v>463174</v>
      </c>
      <c r="E1267" s="60">
        <f t="shared" si="19"/>
        <v>-463174</v>
      </c>
    </row>
    <row r="1268" spans="1:5" x14ac:dyDescent="0.25">
      <c r="A1268" s="60">
        <v>191</v>
      </c>
      <c r="B1268" s="60" t="s">
        <v>119</v>
      </c>
      <c r="C1268" s="60">
        <v>1</v>
      </c>
      <c r="D1268" s="60">
        <v>265314</v>
      </c>
      <c r="E1268" s="60">
        <f t="shared" si="19"/>
        <v>265314</v>
      </c>
    </row>
    <row r="1269" spans="1:5" x14ac:dyDescent="0.25">
      <c r="A1269" s="60">
        <v>191</v>
      </c>
      <c r="B1269" s="60" t="s">
        <v>119</v>
      </c>
      <c r="C1269" s="60">
        <v>10</v>
      </c>
      <c r="D1269" s="60">
        <v>19702460</v>
      </c>
      <c r="E1269" s="60">
        <f t="shared" si="19"/>
        <v>19702460</v>
      </c>
    </row>
    <row r="1270" spans="1:5" x14ac:dyDescent="0.25">
      <c r="A1270" s="60">
        <v>191</v>
      </c>
      <c r="B1270" s="60" t="s">
        <v>119</v>
      </c>
      <c r="C1270" s="60">
        <v>20</v>
      </c>
      <c r="D1270" s="60">
        <v>32626</v>
      </c>
      <c r="E1270" s="60">
        <f t="shared" si="19"/>
        <v>32626</v>
      </c>
    </row>
    <row r="1271" spans="1:5" x14ac:dyDescent="0.25">
      <c r="A1271" s="60">
        <v>191</v>
      </c>
      <c r="B1271" s="60" t="s">
        <v>119</v>
      </c>
      <c r="C1271" s="60">
        <v>50</v>
      </c>
      <c r="D1271" s="60">
        <v>0</v>
      </c>
      <c r="E1271" s="60">
        <f t="shared" si="19"/>
        <v>0</v>
      </c>
    </row>
    <row r="1272" spans="1:5" x14ac:dyDescent="0.25">
      <c r="A1272" s="60">
        <v>191</v>
      </c>
      <c r="B1272" s="60" t="s">
        <v>119</v>
      </c>
      <c r="C1272" s="60">
        <v>70</v>
      </c>
      <c r="D1272" s="60">
        <v>0</v>
      </c>
      <c r="E1272" s="60">
        <f t="shared" si="19"/>
        <v>0</v>
      </c>
    </row>
    <row r="1273" spans="1:5" x14ac:dyDescent="0.25">
      <c r="A1273" s="60">
        <v>191</v>
      </c>
      <c r="B1273" s="60" t="s">
        <v>119</v>
      </c>
      <c r="C1273" s="60">
        <v>110</v>
      </c>
      <c r="D1273" s="60">
        <v>4554160</v>
      </c>
      <c r="E1273" s="60">
        <f t="shared" si="19"/>
        <v>-4554160</v>
      </c>
    </row>
    <row r="1274" spans="1:5" x14ac:dyDescent="0.25">
      <c r="A1274" s="60">
        <v>191</v>
      </c>
      <c r="B1274" s="60" t="s">
        <v>119</v>
      </c>
      <c r="C1274" s="60">
        <v>130</v>
      </c>
      <c r="D1274" s="60">
        <v>0</v>
      </c>
      <c r="E1274" s="60">
        <f t="shared" si="19"/>
        <v>0</v>
      </c>
    </row>
    <row r="1275" spans="1:5" x14ac:dyDescent="0.25">
      <c r="A1275" s="60">
        <v>191</v>
      </c>
      <c r="B1275" s="60" t="s">
        <v>119</v>
      </c>
      <c r="C1275" s="60">
        <v>140</v>
      </c>
      <c r="D1275" s="60">
        <v>303860</v>
      </c>
      <c r="E1275" s="60">
        <f t="shared" si="19"/>
        <v>-303860</v>
      </c>
    </row>
    <row r="1276" spans="1:5" x14ac:dyDescent="0.25">
      <c r="A1276" s="60">
        <v>191</v>
      </c>
      <c r="B1276" s="60" t="s">
        <v>119</v>
      </c>
      <c r="C1276" s="60">
        <v>141</v>
      </c>
      <c r="D1276" s="60">
        <v>955960</v>
      </c>
      <c r="E1276" s="60">
        <f t="shared" si="19"/>
        <v>-955960</v>
      </c>
    </row>
    <row r="1277" spans="1:5" x14ac:dyDescent="0.25">
      <c r="A1277" s="60">
        <v>191</v>
      </c>
      <c r="B1277" s="60" t="s">
        <v>119</v>
      </c>
      <c r="C1277" s="60">
        <v>200</v>
      </c>
      <c r="D1277" s="60">
        <v>98512</v>
      </c>
      <c r="E1277" s="60">
        <f t="shared" si="19"/>
        <v>-98512</v>
      </c>
    </row>
    <row r="1278" spans="1:5" x14ac:dyDescent="0.25">
      <c r="A1278" s="60">
        <v>191</v>
      </c>
      <c r="B1278" s="60" t="s">
        <v>119</v>
      </c>
      <c r="C1278" s="60">
        <v>210</v>
      </c>
      <c r="D1278" s="60">
        <v>86028</v>
      </c>
      <c r="E1278" s="60">
        <f t="shared" si="19"/>
        <v>-86028</v>
      </c>
    </row>
    <row r="1279" spans="1:5" x14ac:dyDescent="0.25">
      <c r="A1279" s="60">
        <v>191</v>
      </c>
      <c r="B1279" s="60" t="s">
        <v>119</v>
      </c>
      <c r="C1279" s="60">
        <v>220</v>
      </c>
      <c r="D1279" s="60">
        <v>0</v>
      </c>
      <c r="E1279" s="60">
        <f t="shared" si="19"/>
        <v>0</v>
      </c>
    </row>
    <row r="1280" spans="1:5" x14ac:dyDescent="0.25">
      <c r="A1280" s="60">
        <v>191</v>
      </c>
      <c r="B1280" s="60" t="s">
        <v>119</v>
      </c>
      <c r="C1280" s="60">
        <v>230</v>
      </c>
      <c r="D1280" s="60">
        <v>92592</v>
      </c>
      <c r="E1280" s="60">
        <f t="shared" si="19"/>
        <v>-92592</v>
      </c>
    </row>
    <row r="1281" spans="1:5" x14ac:dyDescent="0.25">
      <c r="A1281" s="60">
        <v>191</v>
      </c>
      <c r="B1281" s="60" t="s">
        <v>120</v>
      </c>
      <c r="C1281" s="60">
        <v>1</v>
      </c>
      <c r="D1281" s="60">
        <v>10320538</v>
      </c>
      <c r="E1281" s="60">
        <f t="shared" si="19"/>
        <v>10320538</v>
      </c>
    </row>
    <row r="1282" spans="1:5" x14ac:dyDescent="0.25">
      <c r="A1282" s="60">
        <v>191</v>
      </c>
      <c r="B1282" s="60" t="s">
        <v>120</v>
      </c>
      <c r="C1282" s="60">
        <v>10</v>
      </c>
      <c r="D1282" s="60">
        <v>13619140</v>
      </c>
      <c r="E1282" s="60">
        <f t="shared" ref="E1282:E1345" si="20">IF(C1282&lt;100,D1282,D1282*-1)</f>
        <v>13619140</v>
      </c>
    </row>
    <row r="1283" spans="1:5" x14ac:dyDescent="0.25">
      <c r="A1283" s="60">
        <v>191</v>
      </c>
      <c r="B1283" s="60" t="s">
        <v>120</v>
      </c>
      <c r="C1283" s="60">
        <v>20</v>
      </c>
      <c r="D1283" s="60">
        <v>118682</v>
      </c>
      <c r="E1283" s="60">
        <f t="shared" si="20"/>
        <v>118682</v>
      </c>
    </row>
    <row r="1284" spans="1:5" x14ac:dyDescent="0.25">
      <c r="A1284" s="60">
        <v>191</v>
      </c>
      <c r="B1284" s="60" t="s">
        <v>120</v>
      </c>
      <c r="C1284" s="60">
        <v>50</v>
      </c>
      <c r="D1284" s="60">
        <v>5679720</v>
      </c>
      <c r="E1284" s="60">
        <f t="shared" si="20"/>
        <v>5679720</v>
      </c>
    </row>
    <row r="1285" spans="1:5" x14ac:dyDescent="0.25">
      <c r="A1285" s="60">
        <v>191</v>
      </c>
      <c r="B1285" s="60" t="s">
        <v>120</v>
      </c>
      <c r="C1285" s="60">
        <v>70</v>
      </c>
      <c r="D1285" s="60">
        <v>0</v>
      </c>
      <c r="E1285" s="60">
        <f t="shared" si="20"/>
        <v>0</v>
      </c>
    </row>
    <row r="1286" spans="1:5" x14ac:dyDescent="0.25">
      <c r="A1286" s="60">
        <v>191</v>
      </c>
      <c r="B1286" s="60" t="s">
        <v>120</v>
      </c>
      <c r="C1286" s="60">
        <v>110</v>
      </c>
      <c r="D1286" s="60">
        <v>4652580</v>
      </c>
      <c r="E1286" s="60">
        <f t="shared" si="20"/>
        <v>-4652580</v>
      </c>
    </row>
    <row r="1287" spans="1:5" x14ac:dyDescent="0.25">
      <c r="A1287" s="60">
        <v>191</v>
      </c>
      <c r="B1287" s="60" t="s">
        <v>120</v>
      </c>
      <c r="C1287" s="60">
        <v>120</v>
      </c>
      <c r="D1287" s="60">
        <v>16080</v>
      </c>
      <c r="E1287" s="60">
        <f t="shared" si="20"/>
        <v>-16080</v>
      </c>
    </row>
    <row r="1288" spans="1:5" x14ac:dyDescent="0.25">
      <c r="A1288" s="60">
        <v>191</v>
      </c>
      <c r="B1288" s="60" t="s">
        <v>120</v>
      </c>
      <c r="C1288" s="60">
        <v>130</v>
      </c>
      <c r="D1288" s="60">
        <v>27580</v>
      </c>
      <c r="E1288" s="60">
        <f t="shared" si="20"/>
        <v>-27580</v>
      </c>
    </row>
    <row r="1289" spans="1:5" x14ac:dyDescent="0.25">
      <c r="A1289" s="60">
        <v>191</v>
      </c>
      <c r="B1289" s="60" t="s">
        <v>120</v>
      </c>
      <c r="C1289" s="60">
        <v>140</v>
      </c>
      <c r="D1289" s="60">
        <v>0</v>
      </c>
      <c r="E1289" s="60">
        <f t="shared" si="20"/>
        <v>0</v>
      </c>
    </row>
    <row r="1290" spans="1:5" x14ac:dyDescent="0.25">
      <c r="A1290" s="60">
        <v>191</v>
      </c>
      <c r="B1290" s="60" t="s">
        <v>120</v>
      </c>
      <c r="C1290" s="60">
        <v>141</v>
      </c>
      <c r="D1290" s="60">
        <v>12581000</v>
      </c>
      <c r="E1290" s="60">
        <f t="shared" si="20"/>
        <v>-12581000</v>
      </c>
    </row>
    <row r="1291" spans="1:5" x14ac:dyDescent="0.25">
      <c r="A1291" s="60">
        <v>191</v>
      </c>
      <c r="B1291" s="60" t="s">
        <v>120</v>
      </c>
      <c r="C1291" s="60">
        <v>200</v>
      </c>
      <c r="D1291" s="60">
        <v>135303</v>
      </c>
      <c r="E1291" s="60">
        <f t="shared" si="20"/>
        <v>-135303</v>
      </c>
    </row>
    <row r="1292" spans="1:5" x14ac:dyDescent="0.25">
      <c r="A1292" s="60">
        <v>191</v>
      </c>
      <c r="B1292" s="60" t="s">
        <v>120</v>
      </c>
      <c r="C1292" s="60">
        <v>210</v>
      </c>
      <c r="D1292" s="60">
        <v>110884</v>
      </c>
      <c r="E1292" s="60">
        <f t="shared" si="20"/>
        <v>-110884</v>
      </c>
    </row>
    <row r="1293" spans="1:5" x14ac:dyDescent="0.25">
      <c r="A1293" s="60">
        <v>191</v>
      </c>
      <c r="B1293" s="60" t="s">
        <v>120</v>
      </c>
      <c r="C1293" s="60">
        <v>220</v>
      </c>
      <c r="D1293" s="60">
        <v>0</v>
      </c>
      <c r="E1293" s="60">
        <f t="shared" si="20"/>
        <v>0</v>
      </c>
    </row>
    <row r="1294" spans="1:5" x14ac:dyDescent="0.25">
      <c r="A1294" s="60">
        <v>191</v>
      </c>
      <c r="B1294" s="60" t="s">
        <v>120</v>
      </c>
      <c r="C1294" s="60">
        <v>230</v>
      </c>
      <c r="D1294" s="60">
        <v>46681</v>
      </c>
      <c r="E1294" s="60">
        <f t="shared" si="20"/>
        <v>-46681</v>
      </c>
    </row>
    <row r="1295" spans="1:5" x14ac:dyDescent="0.25">
      <c r="A1295" s="60">
        <v>192</v>
      </c>
      <c r="B1295" s="60" t="s">
        <v>117</v>
      </c>
      <c r="C1295" s="60">
        <v>1</v>
      </c>
      <c r="D1295" s="60">
        <v>27305923</v>
      </c>
      <c r="E1295" s="60">
        <f t="shared" si="20"/>
        <v>27305923</v>
      </c>
    </row>
    <row r="1296" spans="1:5" x14ac:dyDescent="0.25">
      <c r="A1296" s="60">
        <v>192</v>
      </c>
      <c r="B1296" s="60" t="s">
        <v>117</v>
      </c>
      <c r="C1296" s="60">
        <v>10</v>
      </c>
      <c r="D1296" s="60">
        <v>32185460</v>
      </c>
      <c r="E1296" s="60">
        <f t="shared" si="20"/>
        <v>32185460</v>
      </c>
    </row>
    <row r="1297" spans="1:5" x14ac:dyDescent="0.25">
      <c r="A1297" s="60">
        <v>192</v>
      </c>
      <c r="B1297" s="60" t="s">
        <v>117</v>
      </c>
      <c r="C1297" s="60">
        <v>20</v>
      </c>
      <c r="D1297" s="60">
        <v>0</v>
      </c>
      <c r="E1297" s="60">
        <f t="shared" si="20"/>
        <v>0</v>
      </c>
    </row>
    <row r="1298" spans="1:5" x14ac:dyDescent="0.25">
      <c r="A1298" s="60">
        <v>192</v>
      </c>
      <c r="B1298" s="60" t="s">
        <v>117</v>
      </c>
      <c r="C1298" s="60">
        <v>50</v>
      </c>
      <c r="D1298" s="60">
        <v>2030900</v>
      </c>
      <c r="E1298" s="60">
        <f t="shared" si="20"/>
        <v>2030900</v>
      </c>
    </row>
    <row r="1299" spans="1:5" x14ac:dyDescent="0.25">
      <c r="A1299" s="60">
        <v>192</v>
      </c>
      <c r="B1299" s="60" t="s">
        <v>117</v>
      </c>
      <c r="C1299" s="60">
        <v>60</v>
      </c>
      <c r="D1299" s="60">
        <v>0</v>
      </c>
      <c r="E1299" s="60">
        <f t="shared" si="20"/>
        <v>0</v>
      </c>
    </row>
    <row r="1300" spans="1:5" x14ac:dyDescent="0.25">
      <c r="A1300" s="60">
        <v>192</v>
      </c>
      <c r="B1300" s="60" t="s">
        <v>117</v>
      </c>
      <c r="C1300" s="60">
        <v>70</v>
      </c>
      <c r="D1300" s="60">
        <v>0</v>
      </c>
      <c r="E1300" s="60">
        <f t="shared" si="20"/>
        <v>0</v>
      </c>
    </row>
    <row r="1301" spans="1:5" x14ac:dyDescent="0.25">
      <c r="A1301" s="60">
        <v>192</v>
      </c>
      <c r="B1301" s="60" t="s">
        <v>117</v>
      </c>
      <c r="C1301" s="60">
        <v>110</v>
      </c>
      <c r="D1301" s="60">
        <v>12454100</v>
      </c>
      <c r="E1301" s="60">
        <f t="shared" si="20"/>
        <v>-12454100</v>
      </c>
    </row>
    <row r="1302" spans="1:5" x14ac:dyDescent="0.25">
      <c r="A1302" s="60">
        <v>192</v>
      </c>
      <c r="B1302" s="60" t="s">
        <v>117</v>
      </c>
      <c r="C1302" s="60">
        <v>120</v>
      </c>
      <c r="D1302" s="60">
        <v>0</v>
      </c>
      <c r="E1302" s="60">
        <f t="shared" si="20"/>
        <v>0</v>
      </c>
    </row>
    <row r="1303" spans="1:5" x14ac:dyDescent="0.25">
      <c r="A1303" s="60">
        <v>192</v>
      </c>
      <c r="B1303" s="60" t="s">
        <v>117</v>
      </c>
      <c r="C1303" s="60">
        <v>130</v>
      </c>
      <c r="D1303" s="60">
        <v>0</v>
      </c>
      <c r="E1303" s="60">
        <f t="shared" si="20"/>
        <v>0</v>
      </c>
    </row>
    <row r="1304" spans="1:5" x14ac:dyDescent="0.25">
      <c r="A1304" s="60">
        <v>192</v>
      </c>
      <c r="B1304" s="60" t="s">
        <v>117</v>
      </c>
      <c r="C1304" s="60">
        <v>140</v>
      </c>
      <c r="D1304" s="60">
        <v>21514840</v>
      </c>
      <c r="E1304" s="60">
        <f t="shared" si="20"/>
        <v>-21514840</v>
      </c>
    </row>
    <row r="1305" spans="1:5" x14ac:dyDescent="0.25">
      <c r="A1305" s="60">
        <v>192</v>
      </c>
      <c r="B1305" s="60" t="s">
        <v>117</v>
      </c>
      <c r="C1305" s="60">
        <v>141</v>
      </c>
      <c r="D1305" s="60">
        <v>12238700</v>
      </c>
      <c r="E1305" s="60">
        <f t="shared" si="20"/>
        <v>-12238700</v>
      </c>
    </row>
    <row r="1306" spans="1:5" x14ac:dyDescent="0.25">
      <c r="A1306" s="60">
        <v>192</v>
      </c>
      <c r="B1306" s="60" t="s">
        <v>117</v>
      </c>
      <c r="C1306" s="60">
        <v>200</v>
      </c>
      <c r="D1306" s="60">
        <v>159422</v>
      </c>
      <c r="E1306" s="60">
        <f t="shared" si="20"/>
        <v>-159422</v>
      </c>
    </row>
    <row r="1307" spans="1:5" x14ac:dyDescent="0.25">
      <c r="A1307" s="60">
        <v>192</v>
      </c>
      <c r="B1307" s="60" t="s">
        <v>117</v>
      </c>
      <c r="C1307" s="60">
        <v>210</v>
      </c>
      <c r="D1307" s="60">
        <v>196223</v>
      </c>
      <c r="E1307" s="60">
        <f t="shared" si="20"/>
        <v>-196223</v>
      </c>
    </row>
    <row r="1308" spans="1:5" x14ac:dyDescent="0.25">
      <c r="A1308" s="60">
        <v>192</v>
      </c>
      <c r="B1308" s="60" t="s">
        <v>117</v>
      </c>
      <c r="C1308" s="60">
        <v>230</v>
      </c>
      <c r="D1308" s="60">
        <v>0</v>
      </c>
      <c r="E1308" s="60">
        <f t="shared" si="20"/>
        <v>0</v>
      </c>
    </row>
    <row r="1309" spans="1:5" x14ac:dyDescent="0.25">
      <c r="A1309" s="60">
        <v>192</v>
      </c>
      <c r="B1309" s="60" t="s">
        <v>117</v>
      </c>
      <c r="C1309" s="60">
        <v>270</v>
      </c>
      <c r="D1309" s="60">
        <v>0</v>
      </c>
      <c r="E1309" s="60">
        <f t="shared" si="20"/>
        <v>0</v>
      </c>
    </row>
    <row r="1310" spans="1:5" x14ac:dyDescent="0.25">
      <c r="A1310" s="60">
        <v>192</v>
      </c>
      <c r="B1310" s="60" t="s">
        <v>118</v>
      </c>
      <c r="C1310" s="60">
        <v>1</v>
      </c>
      <c r="D1310" s="60">
        <v>15308895</v>
      </c>
      <c r="E1310" s="60">
        <f t="shared" si="20"/>
        <v>15308895</v>
      </c>
    </row>
    <row r="1311" spans="1:5" x14ac:dyDescent="0.25">
      <c r="A1311" s="60">
        <v>192</v>
      </c>
      <c r="B1311" s="60" t="s">
        <v>118</v>
      </c>
      <c r="C1311" s="60">
        <v>10</v>
      </c>
      <c r="D1311" s="60">
        <v>14743660</v>
      </c>
      <c r="E1311" s="60">
        <f t="shared" si="20"/>
        <v>14743660</v>
      </c>
    </row>
    <row r="1312" spans="1:5" x14ac:dyDescent="0.25">
      <c r="A1312" s="60">
        <v>192</v>
      </c>
      <c r="B1312" s="60" t="s">
        <v>118</v>
      </c>
      <c r="C1312" s="60">
        <v>20</v>
      </c>
      <c r="D1312" s="60">
        <v>0</v>
      </c>
      <c r="E1312" s="60">
        <f t="shared" si="20"/>
        <v>0</v>
      </c>
    </row>
    <row r="1313" spans="1:5" x14ac:dyDescent="0.25">
      <c r="A1313" s="60">
        <v>192</v>
      </c>
      <c r="B1313" s="60" t="s">
        <v>118</v>
      </c>
      <c r="C1313" s="60">
        <v>50</v>
      </c>
      <c r="D1313" s="60">
        <v>921380</v>
      </c>
      <c r="E1313" s="60">
        <f t="shared" si="20"/>
        <v>921380</v>
      </c>
    </row>
    <row r="1314" spans="1:5" x14ac:dyDescent="0.25">
      <c r="A1314" s="60">
        <v>192</v>
      </c>
      <c r="B1314" s="60" t="s">
        <v>118</v>
      </c>
      <c r="C1314" s="60">
        <v>60</v>
      </c>
      <c r="D1314" s="60">
        <v>0</v>
      </c>
      <c r="E1314" s="60">
        <f t="shared" si="20"/>
        <v>0</v>
      </c>
    </row>
    <row r="1315" spans="1:5" x14ac:dyDescent="0.25">
      <c r="A1315" s="60">
        <v>192</v>
      </c>
      <c r="B1315" s="60" t="s">
        <v>118</v>
      </c>
      <c r="C1315" s="60">
        <v>70</v>
      </c>
      <c r="D1315" s="60">
        <v>0</v>
      </c>
      <c r="E1315" s="60">
        <f t="shared" si="20"/>
        <v>0</v>
      </c>
    </row>
    <row r="1316" spans="1:5" x14ac:dyDescent="0.25">
      <c r="A1316" s="60">
        <v>192</v>
      </c>
      <c r="B1316" s="60" t="s">
        <v>118</v>
      </c>
      <c r="C1316" s="60">
        <v>110</v>
      </c>
      <c r="D1316" s="60">
        <v>10153700</v>
      </c>
      <c r="E1316" s="60">
        <f t="shared" si="20"/>
        <v>-10153700</v>
      </c>
    </row>
    <row r="1317" spans="1:5" x14ac:dyDescent="0.25">
      <c r="A1317" s="60">
        <v>192</v>
      </c>
      <c r="B1317" s="60" t="s">
        <v>118</v>
      </c>
      <c r="C1317" s="60">
        <v>120</v>
      </c>
      <c r="D1317" s="60">
        <v>14260</v>
      </c>
      <c r="E1317" s="60">
        <f t="shared" si="20"/>
        <v>-14260</v>
      </c>
    </row>
    <row r="1318" spans="1:5" x14ac:dyDescent="0.25">
      <c r="A1318" s="60">
        <v>192</v>
      </c>
      <c r="B1318" s="60" t="s">
        <v>118</v>
      </c>
      <c r="C1318" s="60">
        <v>130</v>
      </c>
      <c r="D1318" s="60">
        <v>0</v>
      </c>
      <c r="E1318" s="60">
        <f t="shared" si="20"/>
        <v>0</v>
      </c>
    </row>
    <row r="1319" spans="1:5" x14ac:dyDescent="0.25">
      <c r="A1319" s="60">
        <v>192</v>
      </c>
      <c r="B1319" s="60" t="s">
        <v>118</v>
      </c>
      <c r="C1319" s="60">
        <v>140</v>
      </c>
      <c r="D1319" s="60">
        <v>108740</v>
      </c>
      <c r="E1319" s="60">
        <f t="shared" si="20"/>
        <v>-108740</v>
      </c>
    </row>
    <row r="1320" spans="1:5" x14ac:dyDescent="0.25">
      <c r="A1320" s="60">
        <v>192</v>
      </c>
      <c r="B1320" s="60" t="s">
        <v>118</v>
      </c>
      <c r="C1320" s="60">
        <v>141</v>
      </c>
      <c r="D1320" s="60">
        <v>18259160</v>
      </c>
      <c r="E1320" s="60">
        <f t="shared" si="20"/>
        <v>-18259160</v>
      </c>
    </row>
    <row r="1321" spans="1:5" x14ac:dyDescent="0.25">
      <c r="A1321" s="60">
        <v>192</v>
      </c>
      <c r="B1321" s="60" t="s">
        <v>118</v>
      </c>
      <c r="C1321" s="60">
        <v>150</v>
      </c>
      <c r="D1321" s="60">
        <v>0</v>
      </c>
      <c r="E1321" s="60">
        <f t="shared" si="20"/>
        <v>0</v>
      </c>
    </row>
    <row r="1322" spans="1:5" x14ac:dyDescent="0.25">
      <c r="A1322" s="60">
        <v>192</v>
      </c>
      <c r="B1322" s="60" t="s">
        <v>118</v>
      </c>
      <c r="C1322" s="60">
        <v>200</v>
      </c>
      <c r="D1322" s="60">
        <v>73440</v>
      </c>
      <c r="E1322" s="60">
        <f t="shared" si="20"/>
        <v>-73440</v>
      </c>
    </row>
    <row r="1323" spans="1:5" x14ac:dyDescent="0.25">
      <c r="A1323" s="60">
        <v>192</v>
      </c>
      <c r="B1323" s="60" t="s">
        <v>118</v>
      </c>
      <c r="C1323" s="60">
        <v>210</v>
      </c>
      <c r="D1323" s="60">
        <v>0</v>
      </c>
      <c r="E1323" s="60">
        <f t="shared" si="20"/>
        <v>0</v>
      </c>
    </row>
    <row r="1324" spans="1:5" x14ac:dyDescent="0.25">
      <c r="A1324" s="60">
        <v>192</v>
      </c>
      <c r="B1324" s="60" t="s">
        <v>118</v>
      </c>
      <c r="C1324" s="60">
        <v>230</v>
      </c>
      <c r="D1324" s="60">
        <v>200908</v>
      </c>
      <c r="E1324" s="60">
        <f t="shared" si="20"/>
        <v>-200908</v>
      </c>
    </row>
    <row r="1325" spans="1:5" x14ac:dyDescent="0.25">
      <c r="A1325" s="60">
        <v>192</v>
      </c>
      <c r="B1325" s="60" t="s">
        <v>118</v>
      </c>
      <c r="C1325" s="60">
        <v>270</v>
      </c>
      <c r="D1325" s="60">
        <v>0</v>
      </c>
      <c r="E1325" s="60">
        <f t="shared" si="20"/>
        <v>0</v>
      </c>
    </row>
    <row r="1326" spans="1:5" x14ac:dyDescent="0.25">
      <c r="A1326" s="60">
        <v>192</v>
      </c>
      <c r="B1326" s="60" t="s">
        <v>119</v>
      </c>
      <c r="C1326" s="60">
        <v>1</v>
      </c>
      <c r="D1326" s="60">
        <v>12801307</v>
      </c>
      <c r="E1326" s="60">
        <f t="shared" si="20"/>
        <v>12801307</v>
      </c>
    </row>
    <row r="1327" spans="1:5" x14ac:dyDescent="0.25">
      <c r="A1327" s="60">
        <v>192</v>
      </c>
      <c r="B1327" s="60" t="s">
        <v>119</v>
      </c>
      <c r="C1327" s="60">
        <v>10</v>
      </c>
      <c r="D1327" s="60">
        <v>18493140</v>
      </c>
      <c r="E1327" s="60">
        <f t="shared" si="20"/>
        <v>18493140</v>
      </c>
    </row>
    <row r="1328" spans="1:5" x14ac:dyDescent="0.25">
      <c r="A1328" s="60">
        <v>192</v>
      </c>
      <c r="B1328" s="60" t="s">
        <v>119</v>
      </c>
      <c r="C1328" s="60">
        <v>20</v>
      </c>
      <c r="D1328" s="60">
        <v>39233</v>
      </c>
      <c r="E1328" s="60">
        <f t="shared" si="20"/>
        <v>39233</v>
      </c>
    </row>
    <row r="1329" spans="1:5" x14ac:dyDescent="0.25">
      <c r="A1329" s="60">
        <v>192</v>
      </c>
      <c r="B1329" s="60" t="s">
        <v>119</v>
      </c>
      <c r="C1329" s="60">
        <v>50</v>
      </c>
      <c r="D1329" s="60">
        <v>3346100</v>
      </c>
      <c r="E1329" s="60">
        <f t="shared" si="20"/>
        <v>3346100</v>
      </c>
    </row>
    <row r="1330" spans="1:5" x14ac:dyDescent="0.25">
      <c r="A1330" s="60">
        <v>192</v>
      </c>
      <c r="B1330" s="60" t="s">
        <v>119</v>
      </c>
      <c r="C1330" s="60">
        <v>60</v>
      </c>
      <c r="D1330" s="60">
        <v>0</v>
      </c>
      <c r="E1330" s="60">
        <f t="shared" si="20"/>
        <v>0</v>
      </c>
    </row>
    <row r="1331" spans="1:5" x14ac:dyDescent="0.25">
      <c r="A1331" s="60">
        <v>192</v>
      </c>
      <c r="B1331" s="60" t="s">
        <v>119</v>
      </c>
      <c r="C1331" s="60">
        <v>70</v>
      </c>
      <c r="D1331" s="60">
        <v>0</v>
      </c>
      <c r="E1331" s="60">
        <f t="shared" si="20"/>
        <v>0</v>
      </c>
    </row>
    <row r="1332" spans="1:5" x14ac:dyDescent="0.25">
      <c r="A1332" s="60">
        <v>192</v>
      </c>
      <c r="B1332" s="60" t="s">
        <v>119</v>
      </c>
      <c r="C1332" s="60">
        <v>100</v>
      </c>
      <c r="D1332" s="60">
        <v>0</v>
      </c>
      <c r="E1332" s="60">
        <f t="shared" si="20"/>
        <v>0</v>
      </c>
    </row>
    <row r="1333" spans="1:5" x14ac:dyDescent="0.25">
      <c r="A1333" s="60">
        <v>192</v>
      </c>
      <c r="B1333" s="60" t="s">
        <v>119</v>
      </c>
      <c r="C1333" s="60">
        <v>110</v>
      </c>
      <c r="D1333" s="60">
        <v>12896000</v>
      </c>
      <c r="E1333" s="60">
        <f t="shared" si="20"/>
        <v>-12896000</v>
      </c>
    </row>
    <row r="1334" spans="1:5" x14ac:dyDescent="0.25">
      <c r="A1334" s="60">
        <v>192</v>
      </c>
      <c r="B1334" s="60" t="s">
        <v>119</v>
      </c>
      <c r="C1334" s="60">
        <v>130</v>
      </c>
      <c r="D1334" s="60">
        <v>0</v>
      </c>
      <c r="E1334" s="60">
        <f t="shared" si="20"/>
        <v>0</v>
      </c>
    </row>
    <row r="1335" spans="1:5" x14ac:dyDescent="0.25">
      <c r="A1335" s="60">
        <v>192</v>
      </c>
      <c r="B1335" s="60" t="s">
        <v>119</v>
      </c>
      <c r="C1335" s="60">
        <v>140</v>
      </c>
      <c r="D1335" s="60">
        <v>0</v>
      </c>
      <c r="E1335" s="60">
        <f t="shared" si="20"/>
        <v>0</v>
      </c>
    </row>
    <row r="1336" spans="1:5" x14ac:dyDescent="0.25">
      <c r="A1336" s="60">
        <v>192</v>
      </c>
      <c r="B1336" s="60" t="s">
        <v>119</v>
      </c>
      <c r="C1336" s="60">
        <v>200</v>
      </c>
      <c r="D1336" s="60">
        <v>92378</v>
      </c>
      <c r="E1336" s="60">
        <f t="shared" si="20"/>
        <v>-92378</v>
      </c>
    </row>
    <row r="1337" spans="1:5" x14ac:dyDescent="0.25">
      <c r="A1337" s="60">
        <v>192</v>
      </c>
      <c r="B1337" s="60" t="s">
        <v>119</v>
      </c>
      <c r="C1337" s="60">
        <v>210</v>
      </c>
      <c r="D1337" s="60">
        <v>69205</v>
      </c>
      <c r="E1337" s="60">
        <f t="shared" si="20"/>
        <v>-69205</v>
      </c>
    </row>
    <row r="1338" spans="1:5" x14ac:dyDescent="0.25">
      <c r="A1338" s="60">
        <v>192</v>
      </c>
      <c r="B1338" s="60" t="s">
        <v>119</v>
      </c>
      <c r="C1338" s="60">
        <v>220</v>
      </c>
      <c r="D1338" s="60">
        <v>0</v>
      </c>
      <c r="E1338" s="60">
        <f t="shared" si="20"/>
        <v>0</v>
      </c>
    </row>
    <row r="1339" spans="1:5" x14ac:dyDescent="0.25">
      <c r="A1339" s="60">
        <v>192</v>
      </c>
      <c r="B1339" s="60" t="s">
        <v>119</v>
      </c>
      <c r="C1339" s="60">
        <v>230</v>
      </c>
      <c r="D1339" s="60">
        <v>34459</v>
      </c>
      <c r="E1339" s="60">
        <f t="shared" si="20"/>
        <v>-34459</v>
      </c>
    </row>
    <row r="1340" spans="1:5" x14ac:dyDescent="0.25">
      <c r="A1340" s="60">
        <v>192</v>
      </c>
      <c r="B1340" s="60" t="s">
        <v>119</v>
      </c>
      <c r="C1340" s="60">
        <v>270</v>
      </c>
      <c r="D1340" s="60">
        <v>0</v>
      </c>
      <c r="E1340" s="60">
        <f t="shared" si="20"/>
        <v>0</v>
      </c>
    </row>
    <row r="1341" spans="1:5" x14ac:dyDescent="0.25">
      <c r="A1341" s="60">
        <v>192</v>
      </c>
      <c r="B1341" s="60" t="s">
        <v>120</v>
      </c>
      <c r="C1341" s="60">
        <v>1</v>
      </c>
      <c r="D1341" s="60">
        <v>263058</v>
      </c>
      <c r="E1341" s="60">
        <f t="shared" si="20"/>
        <v>263058</v>
      </c>
    </row>
    <row r="1342" spans="1:5" x14ac:dyDescent="0.25">
      <c r="A1342" s="60">
        <v>192</v>
      </c>
      <c r="B1342" s="60" t="s">
        <v>120</v>
      </c>
      <c r="C1342" s="60">
        <v>10</v>
      </c>
      <c r="D1342" s="60">
        <v>2469860</v>
      </c>
      <c r="E1342" s="60">
        <f t="shared" si="20"/>
        <v>2469860</v>
      </c>
    </row>
    <row r="1343" spans="1:5" x14ac:dyDescent="0.25">
      <c r="A1343" s="60">
        <v>192</v>
      </c>
      <c r="B1343" s="60" t="s">
        <v>120</v>
      </c>
      <c r="C1343" s="60">
        <v>20</v>
      </c>
      <c r="D1343" s="60">
        <v>0</v>
      </c>
      <c r="E1343" s="60">
        <f t="shared" si="20"/>
        <v>0</v>
      </c>
    </row>
    <row r="1344" spans="1:5" x14ac:dyDescent="0.25">
      <c r="A1344" s="60">
        <v>192</v>
      </c>
      <c r="B1344" s="60" t="s">
        <v>120</v>
      </c>
      <c r="C1344" s="60">
        <v>50</v>
      </c>
      <c r="D1344" s="60">
        <v>0</v>
      </c>
      <c r="E1344" s="60">
        <f t="shared" si="20"/>
        <v>0</v>
      </c>
    </row>
    <row r="1345" spans="1:5" x14ac:dyDescent="0.25">
      <c r="A1345" s="60">
        <v>192</v>
      </c>
      <c r="B1345" s="60" t="s">
        <v>120</v>
      </c>
      <c r="C1345" s="60">
        <v>60</v>
      </c>
      <c r="D1345" s="60">
        <v>0</v>
      </c>
      <c r="E1345" s="60">
        <f t="shared" si="20"/>
        <v>0</v>
      </c>
    </row>
    <row r="1346" spans="1:5" x14ac:dyDescent="0.25">
      <c r="A1346" s="60">
        <v>192</v>
      </c>
      <c r="B1346" s="60" t="s">
        <v>120</v>
      </c>
      <c r="C1346" s="60">
        <v>110</v>
      </c>
      <c r="D1346" s="60">
        <v>0</v>
      </c>
      <c r="E1346" s="60">
        <f t="shared" ref="E1346:E1409" si="21">IF(C1346&lt;100,D1346,D1346*-1)</f>
        <v>0</v>
      </c>
    </row>
    <row r="1347" spans="1:5" x14ac:dyDescent="0.25">
      <c r="A1347" s="60">
        <v>192</v>
      </c>
      <c r="B1347" s="60" t="s">
        <v>120</v>
      </c>
      <c r="C1347" s="60">
        <v>120</v>
      </c>
      <c r="D1347" s="60">
        <v>53800</v>
      </c>
      <c r="E1347" s="60">
        <f t="shared" si="21"/>
        <v>-53800</v>
      </c>
    </row>
    <row r="1348" spans="1:5" x14ac:dyDescent="0.25">
      <c r="A1348" s="60">
        <v>192</v>
      </c>
      <c r="B1348" s="60" t="s">
        <v>120</v>
      </c>
      <c r="C1348" s="60">
        <v>130</v>
      </c>
      <c r="D1348" s="60">
        <v>0</v>
      </c>
      <c r="E1348" s="60">
        <f t="shared" si="21"/>
        <v>0</v>
      </c>
    </row>
    <row r="1349" spans="1:5" x14ac:dyDescent="0.25">
      <c r="A1349" s="60">
        <v>192</v>
      </c>
      <c r="B1349" s="60" t="s">
        <v>120</v>
      </c>
      <c r="C1349" s="60">
        <v>140</v>
      </c>
      <c r="D1349" s="60">
        <v>0</v>
      </c>
      <c r="E1349" s="60">
        <f t="shared" si="21"/>
        <v>0</v>
      </c>
    </row>
    <row r="1350" spans="1:5" x14ac:dyDescent="0.25">
      <c r="A1350" s="60">
        <v>192</v>
      </c>
      <c r="B1350" s="60" t="s">
        <v>120</v>
      </c>
      <c r="C1350" s="60">
        <v>141</v>
      </c>
      <c r="D1350" s="60">
        <v>941820</v>
      </c>
      <c r="E1350" s="60">
        <f t="shared" si="21"/>
        <v>-941820</v>
      </c>
    </row>
    <row r="1351" spans="1:5" x14ac:dyDescent="0.25">
      <c r="A1351" s="60">
        <v>192</v>
      </c>
      <c r="B1351" s="60" t="s">
        <v>120</v>
      </c>
      <c r="C1351" s="60">
        <v>150</v>
      </c>
      <c r="D1351" s="60">
        <v>0</v>
      </c>
      <c r="E1351" s="60">
        <f t="shared" si="21"/>
        <v>0</v>
      </c>
    </row>
    <row r="1352" spans="1:5" x14ac:dyDescent="0.25">
      <c r="A1352" s="60">
        <v>192</v>
      </c>
      <c r="B1352" s="60" t="s">
        <v>120</v>
      </c>
      <c r="C1352" s="60">
        <v>200</v>
      </c>
      <c r="D1352" s="60">
        <v>24699</v>
      </c>
      <c r="E1352" s="60">
        <f t="shared" si="21"/>
        <v>-24699</v>
      </c>
    </row>
    <row r="1353" spans="1:5" x14ac:dyDescent="0.25">
      <c r="A1353" s="60">
        <v>192</v>
      </c>
      <c r="B1353" s="60" t="s">
        <v>120</v>
      </c>
      <c r="C1353" s="60">
        <v>210</v>
      </c>
      <c r="D1353" s="60">
        <v>0</v>
      </c>
      <c r="E1353" s="60">
        <f t="shared" si="21"/>
        <v>0</v>
      </c>
    </row>
    <row r="1354" spans="1:5" x14ac:dyDescent="0.25">
      <c r="A1354" s="60">
        <v>192</v>
      </c>
      <c r="B1354" s="60" t="s">
        <v>120</v>
      </c>
      <c r="C1354" s="60">
        <v>220</v>
      </c>
      <c r="D1354" s="60">
        <v>0</v>
      </c>
      <c r="E1354" s="60">
        <f t="shared" si="21"/>
        <v>0</v>
      </c>
    </row>
    <row r="1355" spans="1:5" x14ac:dyDescent="0.25">
      <c r="A1355" s="60">
        <v>192</v>
      </c>
      <c r="B1355" s="60" t="s">
        <v>120</v>
      </c>
      <c r="C1355" s="60">
        <v>230</v>
      </c>
      <c r="D1355" s="60">
        <v>3391</v>
      </c>
      <c r="E1355" s="60">
        <f t="shared" si="21"/>
        <v>-3391</v>
      </c>
    </row>
    <row r="1356" spans="1:5" x14ac:dyDescent="0.25">
      <c r="A1356" s="60">
        <v>192</v>
      </c>
      <c r="B1356" s="60" t="s">
        <v>120</v>
      </c>
      <c r="C1356" s="60">
        <v>270</v>
      </c>
      <c r="D1356" s="60">
        <v>0</v>
      </c>
      <c r="E1356" s="60">
        <f t="shared" si="21"/>
        <v>0</v>
      </c>
    </row>
    <row r="1357" spans="1:5" x14ac:dyDescent="0.25">
      <c r="A1357" s="60">
        <v>192</v>
      </c>
      <c r="B1357" s="60" t="s">
        <v>121</v>
      </c>
      <c r="C1357" s="60">
        <v>1</v>
      </c>
      <c r="D1357" s="60">
        <v>0</v>
      </c>
      <c r="E1357" s="60">
        <f t="shared" si="21"/>
        <v>0</v>
      </c>
    </row>
    <row r="1358" spans="1:5" x14ac:dyDescent="0.25">
      <c r="A1358" s="60">
        <v>192</v>
      </c>
      <c r="B1358" s="60" t="s">
        <v>121</v>
      </c>
      <c r="C1358" s="60">
        <v>10</v>
      </c>
      <c r="D1358" s="60">
        <v>0</v>
      </c>
      <c r="E1358" s="60">
        <f t="shared" si="21"/>
        <v>0</v>
      </c>
    </row>
    <row r="1359" spans="1:5" x14ac:dyDescent="0.25">
      <c r="A1359" s="60">
        <v>192</v>
      </c>
      <c r="B1359" s="60" t="s">
        <v>121</v>
      </c>
      <c r="C1359" s="60">
        <v>20</v>
      </c>
      <c r="D1359" s="60">
        <v>0</v>
      </c>
      <c r="E1359" s="60">
        <f t="shared" si="21"/>
        <v>0</v>
      </c>
    </row>
    <row r="1360" spans="1:5" x14ac:dyDescent="0.25">
      <c r="A1360" s="60">
        <v>192</v>
      </c>
      <c r="B1360" s="60" t="s">
        <v>121</v>
      </c>
      <c r="C1360" s="60">
        <v>50</v>
      </c>
      <c r="D1360" s="60">
        <v>0</v>
      </c>
      <c r="E1360" s="60">
        <f t="shared" si="21"/>
        <v>0</v>
      </c>
    </row>
    <row r="1361" spans="1:5" x14ac:dyDescent="0.25">
      <c r="A1361" s="60">
        <v>192</v>
      </c>
      <c r="B1361" s="60" t="s">
        <v>121</v>
      </c>
      <c r="C1361" s="60">
        <v>70</v>
      </c>
      <c r="D1361" s="60">
        <v>0</v>
      </c>
      <c r="E1361" s="60">
        <f t="shared" si="21"/>
        <v>0</v>
      </c>
    </row>
    <row r="1362" spans="1:5" x14ac:dyDescent="0.25">
      <c r="A1362" s="60">
        <v>192</v>
      </c>
      <c r="B1362" s="60" t="s">
        <v>121</v>
      </c>
      <c r="C1362" s="60">
        <v>110</v>
      </c>
      <c r="D1362" s="60">
        <v>0</v>
      </c>
      <c r="E1362" s="60">
        <f t="shared" si="21"/>
        <v>0</v>
      </c>
    </row>
    <row r="1363" spans="1:5" x14ac:dyDescent="0.25">
      <c r="A1363" s="60">
        <v>192</v>
      </c>
      <c r="B1363" s="60" t="s">
        <v>121</v>
      </c>
      <c r="C1363" s="60">
        <v>210</v>
      </c>
      <c r="D1363" s="60">
        <v>0</v>
      </c>
      <c r="E1363" s="60">
        <f t="shared" si="21"/>
        <v>0</v>
      </c>
    </row>
    <row r="1364" spans="1:5" x14ac:dyDescent="0.25">
      <c r="A1364" s="60">
        <v>193</v>
      </c>
      <c r="B1364" s="60" t="s">
        <v>117</v>
      </c>
      <c r="C1364" s="60">
        <v>1</v>
      </c>
      <c r="D1364" s="60">
        <v>0</v>
      </c>
      <c r="E1364" s="60">
        <f t="shared" si="21"/>
        <v>0</v>
      </c>
    </row>
    <row r="1365" spans="1:5" x14ac:dyDescent="0.25">
      <c r="A1365" s="60">
        <v>193</v>
      </c>
      <c r="B1365" s="60" t="s">
        <v>117</v>
      </c>
      <c r="C1365" s="60">
        <v>10</v>
      </c>
      <c r="D1365" s="60">
        <v>15624540</v>
      </c>
      <c r="E1365" s="60">
        <f t="shared" si="21"/>
        <v>15624540</v>
      </c>
    </row>
    <row r="1366" spans="1:5" x14ac:dyDescent="0.25">
      <c r="A1366" s="60">
        <v>193</v>
      </c>
      <c r="B1366" s="60" t="s">
        <v>117</v>
      </c>
      <c r="C1366" s="60">
        <v>20</v>
      </c>
      <c r="D1366" s="60">
        <v>51278</v>
      </c>
      <c r="E1366" s="60">
        <f t="shared" si="21"/>
        <v>51278</v>
      </c>
    </row>
    <row r="1367" spans="1:5" x14ac:dyDescent="0.25">
      <c r="A1367" s="60">
        <v>193</v>
      </c>
      <c r="B1367" s="60" t="s">
        <v>117</v>
      </c>
      <c r="C1367" s="60">
        <v>70</v>
      </c>
      <c r="D1367" s="60">
        <v>0</v>
      </c>
      <c r="E1367" s="60">
        <f t="shared" si="21"/>
        <v>0</v>
      </c>
    </row>
    <row r="1368" spans="1:5" x14ac:dyDescent="0.25">
      <c r="A1368" s="60">
        <v>193</v>
      </c>
      <c r="B1368" s="60" t="s">
        <v>117</v>
      </c>
      <c r="C1368" s="60">
        <v>110</v>
      </c>
      <c r="D1368" s="60">
        <v>4871680</v>
      </c>
      <c r="E1368" s="60">
        <f t="shared" si="21"/>
        <v>-4871680</v>
      </c>
    </row>
    <row r="1369" spans="1:5" x14ac:dyDescent="0.25">
      <c r="A1369" s="60">
        <v>193</v>
      </c>
      <c r="B1369" s="60" t="s">
        <v>117</v>
      </c>
      <c r="C1369" s="60">
        <v>120</v>
      </c>
      <c r="D1369" s="60">
        <v>0</v>
      </c>
      <c r="E1369" s="60">
        <f t="shared" si="21"/>
        <v>0</v>
      </c>
    </row>
    <row r="1370" spans="1:5" x14ac:dyDescent="0.25">
      <c r="A1370" s="60">
        <v>193</v>
      </c>
      <c r="B1370" s="60" t="s">
        <v>117</v>
      </c>
      <c r="C1370" s="60">
        <v>130</v>
      </c>
      <c r="D1370" s="60">
        <v>0</v>
      </c>
      <c r="E1370" s="60">
        <f t="shared" si="21"/>
        <v>0</v>
      </c>
    </row>
    <row r="1371" spans="1:5" x14ac:dyDescent="0.25">
      <c r="A1371" s="60">
        <v>193</v>
      </c>
      <c r="B1371" s="60" t="s">
        <v>117</v>
      </c>
      <c r="C1371" s="60">
        <v>140</v>
      </c>
      <c r="D1371" s="60">
        <v>10601080</v>
      </c>
      <c r="E1371" s="60">
        <f t="shared" si="21"/>
        <v>-10601080</v>
      </c>
    </row>
    <row r="1372" spans="1:5" x14ac:dyDescent="0.25">
      <c r="A1372" s="60">
        <v>193</v>
      </c>
      <c r="B1372" s="60" t="s">
        <v>117</v>
      </c>
      <c r="C1372" s="60">
        <v>141</v>
      </c>
      <c r="D1372" s="60">
        <v>56160</v>
      </c>
      <c r="E1372" s="60">
        <f t="shared" si="21"/>
        <v>-56160</v>
      </c>
    </row>
    <row r="1373" spans="1:5" x14ac:dyDescent="0.25">
      <c r="A1373" s="60">
        <v>193</v>
      </c>
      <c r="B1373" s="60" t="s">
        <v>117</v>
      </c>
      <c r="C1373" s="60">
        <v>150</v>
      </c>
      <c r="D1373" s="60">
        <v>0</v>
      </c>
      <c r="E1373" s="60">
        <f t="shared" si="21"/>
        <v>0</v>
      </c>
    </row>
    <row r="1374" spans="1:5" x14ac:dyDescent="0.25">
      <c r="A1374" s="60">
        <v>193</v>
      </c>
      <c r="B1374" s="60" t="s">
        <v>117</v>
      </c>
      <c r="C1374" s="60">
        <v>200</v>
      </c>
      <c r="D1374" s="60">
        <v>78005</v>
      </c>
      <c r="E1374" s="60">
        <f t="shared" si="21"/>
        <v>-78005</v>
      </c>
    </row>
    <row r="1375" spans="1:5" x14ac:dyDescent="0.25">
      <c r="A1375" s="60">
        <v>193</v>
      </c>
      <c r="B1375" s="60" t="s">
        <v>117</v>
      </c>
      <c r="C1375" s="60">
        <v>210</v>
      </c>
      <c r="D1375" s="60">
        <v>68893</v>
      </c>
      <c r="E1375" s="60">
        <f t="shared" si="21"/>
        <v>-68893</v>
      </c>
    </row>
    <row r="1376" spans="1:5" x14ac:dyDescent="0.25">
      <c r="A1376" s="60">
        <v>193</v>
      </c>
      <c r="B1376" s="60" t="s">
        <v>117</v>
      </c>
      <c r="C1376" s="60">
        <v>220</v>
      </c>
      <c r="D1376" s="60">
        <v>0</v>
      </c>
      <c r="E1376" s="60">
        <f t="shared" si="21"/>
        <v>0</v>
      </c>
    </row>
    <row r="1377" spans="1:5" x14ac:dyDescent="0.25">
      <c r="A1377" s="60">
        <v>193</v>
      </c>
      <c r="B1377" s="60" t="s">
        <v>117</v>
      </c>
      <c r="C1377" s="60">
        <v>230</v>
      </c>
      <c r="D1377" s="60">
        <v>0</v>
      </c>
      <c r="E1377" s="60">
        <f t="shared" si="21"/>
        <v>0</v>
      </c>
    </row>
    <row r="1378" spans="1:5" x14ac:dyDescent="0.25">
      <c r="A1378" s="60">
        <v>193</v>
      </c>
      <c r="B1378" s="60" t="s">
        <v>117</v>
      </c>
      <c r="C1378" s="60">
        <v>270</v>
      </c>
      <c r="D1378" s="60">
        <v>0</v>
      </c>
      <c r="E1378" s="60">
        <f t="shared" si="21"/>
        <v>0</v>
      </c>
    </row>
    <row r="1379" spans="1:5" x14ac:dyDescent="0.25">
      <c r="A1379" s="60">
        <v>193</v>
      </c>
      <c r="B1379" s="60" t="s">
        <v>118</v>
      </c>
      <c r="C1379" s="60">
        <v>1</v>
      </c>
      <c r="D1379" s="60">
        <v>2427456</v>
      </c>
      <c r="E1379" s="60">
        <f t="shared" si="21"/>
        <v>2427456</v>
      </c>
    </row>
    <row r="1380" spans="1:5" x14ac:dyDescent="0.25">
      <c r="A1380" s="60">
        <v>193</v>
      </c>
      <c r="B1380" s="60" t="s">
        <v>118</v>
      </c>
      <c r="C1380" s="60">
        <v>10</v>
      </c>
      <c r="D1380" s="60">
        <v>6829920</v>
      </c>
      <c r="E1380" s="60">
        <f t="shared" si="21"/>
        <v>6829920</v>
      </c>
    </row>
    <row r="1381" spans="1:5" x14ac:dyDescent="0.25">
      <c r="A1381" s="60">
        <v>193</v>
      </c>
      <c r="B1381" s="60" t="s">
        <v>118</v>
      </c>
      <c r="C1381" s="60">
        <v>20</v>
      </c>
      <c r="D1381" s="60">
        <v>334624</v>
      </c>
      <c r="E1381" s="60">
        <f t="shared" si="21"/>
        <v>334624</v>
      </c>
    </row>
    <row r="1382" spans="1:5" x14ac:dyDescent="0.25">
      <c r="A1382" s="60">
        <v>193</v>
      </c>
      <c r="B1382" s="60" t="s">
        <v>118</v>
      </c>
      <c r="C1382" s="60">
        <v>50</v>
      </c>
      <c r="D1382" s="60">
        <v>0</v>
      </c>
      <c r="E1382" s="60">
        <f t="shared" si="21"/>
        <v>0</v>
      </c>
    </row>
    <row r="1383" spans="1:5" x14ac:dyDescent="0.25">
      <c r="A1383" s="60">
        <v>193</v>
      </c>
      <c r="B1383" s="60" t="s">
        <v>118</v>
      </c>
      <c r="C1383" s="60">
        <v>110</v>
      </c>
      <c r="D1383" s="60">
        <v>2211360</v>
      </c>
      <c r="E1383" s="60">
        <f t="shared" si="21"/>
        <v>-2211360</v>
      </c>
    </row>
    <row r="1384" spans="1:5" x14ac:dyDescent="0.25">
      <c r="A1384" s="60">
        <v>193</v>
      </c>
      <c r="B1384" s="60" t="s">
        <v>118</v>
      </c>
      <c r="C1384" s="60">
        <v>120</v>
      </c>
      <c r="D1384" s="60">
        <v>119060</v>
      </c>
      <c r="E1384" s="60">
        <f t="shared" si="21"/>
        <v>-119060</v>
      </c>
    </row>
    <row r="1385" spans="1:5" x14ac:dyDescent="0.25">
      <c r="A1385" s="60">
        <v>193</v>
      </c>
      <c r="B1385" s="60" t="s">
        <v>118</v>
      </c>
      <c r="C1385" s="60">
        <v>130</v>
      </c>
      <c r="D1385" s="60">
        <v>42280</v>
      </c>
      <c r="E1385" s="60">
        <f t="shared" si="21"/>
        <v>-42280</v>
      </c>
    </row>
    <row r="1386" spans="1:5" x14ac:dyDescent="0.25">
      <c r="A1386" s="60">
        <v>193</v>
      </c>
      <c r="B1386" s="60" t="s">
        <v>118</v>
      </c>
      <c r="C1386" s="60">
        <v>140</v>
      </c>
      <c r="D1386" s="60">
        <v>702620</v>
      </c>
      <c r="E1386" s="60">
        <f t="shared" si="21"/>
        <v>-702620</v>
      </c>
    </row>
    <row r="1387" spans="1:5" x14ac:dyDescent="0.25">
      <c r="A1387" s="60">
        <v>193</v>
      </c>
      <c r="B1387" s="60" t="s">
        <v>118</v>
      </c>
      <c r="C1387" s="60">
        <v>141</v>
      </c>
      <c r="D1387" s="60">
        <v>4623880</v>
      </c>
      <c r="E1387" s="60">
        <f t="shared" si="21"/>
        <v>-4623880</v>
      </c>
    </row>
    <row r="1388" spans="1:5" x14ac:dyDescent="0.25">
      <c r="A1388" s="60">
        <v>193</v>
      </c>
      <c r="B1388" s="60" t="s">
        <v>118</v>
      </c>
      <c r="C1388" s="60">
        <v>150</v>
      </c>
      <c r="D1388" s="60">
        <v>0</v>
      </c>
      <c r="E1388" s="60">
        <f t="shared" si="21"/>
        <v>0</v>
      </c>
    </row>
    <row r="1389" spans="1:5" x14ac:dyDescent="0.25">
      <c r="A1389" s="60">
        <v>193</v>
      </c>
      <c r="B1389" s="60" t="s">
        <v>118</v>
      </c>
      <c r="C1389" s="60">
        <v>160</v>
      </c>
      <c r="D1389" s="60">
        <v>0</v>
      </c>
      <c r="E1389" s="60">
        <f t="shared" si="21"/>
        <v>0</v>
      </c>
    </row>
    <row r="1390" spans="1:5" x14ac:dyDescent="0.25">
      <c r="A1390" s="60">
        <v>193</v>
      </c>
      <c r="B1390" s="60" t="s">
        <v>118</v>
      </c>
      <c r="C1390" s="60">
        <v>200</v>
      </c>
      <c r="D1390" s="60">
        <v>34094</v>
      </c>
      <c r="E1390" s="60">
        <f t="shared" si="21"/>
        <v>-34094</v>
      </c>
    </row>
    <row r="1391" spans="1:5" x14ac:dyDescent="0.25">
      <c r="A1391" s="60">
        <v>193</v>
      </c>
      <c r="B1391" s="60" t="s">
        <v>118</v>
      </c>
      <c r="C1391" s="60">
        <v>210</v>
      </c>
      <c r="D1391" s="60">
        <v>0</v>
      </c>
      <c r="E1391" s="60">
        <f t="shared" si="21"/>
        <v>0</v>
      </c>
    </row>
    <row r="1392" spans="1:5" x14ac:dyDescent="0.25">
      <c r="A1392" s="60">
        <v>193</v>
      </c>
      <c r="B1392" s="60" t="s">
        <v>118</v>
      </c>
      <c r="C1392" s="60">
        <v>220</v>
      </c>
      <c r="D1392" s="60">
        <v>0</v>
      </c>
      <c r="E1392" s="60">
        <f t="shared" si="21"/>
        <v>0</v>
      </c>
    </row>
    <row r="1393" spans="1:5" x14ac:dyDescent="0.25">
      <c r="A1393" s="60">
        <v>193</v>
      </c>
      <c r="B1393" s="60" t="s">
        <v>118</v>
      </c>
      <c r="C1393" s="60">
        <v>230</v>
      </c>
      <c r="D1393" s="60">
        <v>119053</v>
      </c>
      <c r="E1393" s="60">
        <f t="shared" si="21"/>
        <v>-119053</v>
      </c>
    </row>
    <row r="1394" spans="1:5" x14ac:dyDescent="0.25">
      <c r="A1394" s="60">
        <v>193</v>
      </c>
      <c r="B1394" s="60" t="s">
        <v>118</v>
      </c>
      <c r="C1394" s="60">
        <v>260</v>
      </c>
      <c r="D1394" s="60">
        <v>0</v>
      </c>
      <c r="E1394" s="60">
        <f t="shared" si="21"/>
        <v>0</v>
      </c>
    </row>
    <row r="1395" spans="1:5" x14ac:dyDescent="0.25">
      <c r="A1395" s="60">
        <v>193</v>
      </c>
      <c r="B1395" s="60" t="s">
        <v>118</v>
      </c>
      <c r="C1395" s="60">
        <v>270</v>
      </c>
      <c r="D1395" s="60">
        <v>0</v>
      </c>
      <c r="E1395" s="60">
        <f t="shared" si="21"/>
        <v>0</v>
      </c>
    </row>
    <row r="1396" spans="1:5" x14ac:dyDescent="0.25">
      <c r="A1396" s="60">
        <v>193</v>
      </c>
      <c r="B1396" s="60" t="s">
        <v>118</v>
      </c>
      <c r="C1396" s="60">
        <v>280</v>
      </c>
      <c r="D1396" s="60">
        <v>0</v>
      </c>
      <c r="E1396" s="60">
        <f t="shared" si="21"/>
        <v>0</v>
      </c>
    </row>
    <row r="1397" spans="1:5" x14ac:dyDescent="0.25">
      <c r="A1397" s="60">
        <v>193</v>
      </c>
      <c r="B1397" s="60" t="s">
        <v>119</v>
      </c>
      <c r="C1397" s="60">
        <v>1</v>
      </c>
      <c r="D1397" s="60">
        <v>6577779</v>
      </c>
      <c r="E1397" s="60">
        <f t="shared" si="21"/>
        <v>6577779</v>
      </c>
    </row>
    <row r="1398" spans="1:5" x14ac:dyDescent="0.25">
      <c r="A1398" s="60">
        <v>193</v>
      </c>
      <c r="B1398" s="60" t="s">
        <v>119</v>
      </c>
      <c r="C1398" s="60">
        <v>10</v>
      </c>
      <c r="D1398" s="60">
        <v>15000600</v>
      </c>
      <c r="E1398" s="60">
        <f t="shared" si="21"/>
        <v>15000600</v>
      </c>
    </row>
    <row r="1399" spans="1:5" x14ac:dyDescent="0.25">
      <c r="A1399" s="60">
        <v>193</v>
      </c>
      <c r="B1399" s="60" t="s">
        <v>119</v>
      </c>
      <c r="C1399" s="60">
        <v>20</v>
      </c>
      <c r="D1399" s="60">
        <v>318901</v>
      </c>
      <c r="E1399" s="60">
        <f t="shared" si="21"/>
        <v>318901</v>
      </c>
    </row>
    <row r="1400" spans="1:5" x14ac:dyDescent="0.25">
      <c r="A1400" s="60">
        <v>193</v>
      </c>
      <c r="B1400" s="60" t="s">
        <v>119</v>
      </c>
      <c r="C1400" s="60">
        <v>50</v>
      </c>
      <c r="D1400" s="60">
        <v>0</v>
      </c>
      <c r="E1400" s="60">
        <f t="shared" si="21"/>
        <v>0</v>
      </c>
    </row>
    <row r="1401" spans="1:5" x14ac:dyDescent="0.25">
      <c r="A1401" s="60">
        <v>193</v>
      </c>
      <c r="B1401" s="60" t="s">
        <v>119</v>
      </c>
      <c r="C1401" s="60">
        <v>110</v>
      </c>
      <c r="D1401" s="60">
        <v>11409940</v>
      </c>
      <c r="E1401" s="60">
        <f t="shared" si="21"/>
        <v>-11409940</v>
      </c>
    </row>
    <row r="1402" spans="1:5" x14ac:dyDescent="0.25">
      <c r="A1402" s="60">
        <v>193</v>
      </c>
      <c r="B1402" s="60" t="s">
        <v>119</v>
      </c>
      <c r="C1402" s="60">
        <v>120</v>
      </c>
      <c r="D1402" s="60">
        <v>0</v>
      </c>
      <c r="E1402" s="60">
        <f t="shared" si="21"/>
        <v>0</v>
      </c>
    </row>
    <row r="1403" spans="1:5" x14ac:dyDescent="0.25">
      <c r="A1403" s="60">
        <v>193</v>
      </c>
      <c r="B1403" s="60" t="s">
        <v>119</v>
      </c>
      <c r="C1403" s="60">
        <v>130</v>
      </c>
      <c r="D1403" s="60">
        <v>0</v>
      </c>
      <c r="E1403" s="60">
        <f t="shared" si="21"/>
        <v>0</v>
      </c>
    </row>
    <row r="1404" spans="1:5" x14ac:dyDescent="0.25">
      <c r="A1404" s="60">
        <v>193</v>
      </c>
      <c r="B1404" s="60" t="s">
        <v>119</v>
      </c>
      <c r="C1404" s="60">
        <v>140</v>
      </c>
      <c r="D1404" s="60">
        <v>5094180</v>
      </c>
      <c r="E1404" s="60">
        <f t="shared" si="21"/>
        <v>-5094180</v>
      </c>
    </row>
    <row r="1405" spans="1:5" x14ac:dyDescent="0.25">
      <c r="A1405" s="60">
        <v>193</v>
      </c>
      <c r="B1405" s="60" t="s">
        <v>119</v>
      </c>
      <c r="C1405" s="60">
        <v>141</v>
      </c>
      <c r="D1405" s="60">
        <v>112940</v>
      </c>
      <c r="E1405" s="60">
        <f t="shared" si="21"/>
        <v>-112940</v>
      </c>
    </row>
    <row r="1406" spans="1:5" x14ac:dyDescent="0.25">
      <c r="A1406" s="60">
        <v>193</v>
      </c>
      <c r="B1406" s="60" t="s">
        <v>119</v>
      </c>
      <c r="C1406" s="60">
        <v>200</v>
      </c>
      <c r="D1406" s="60">
        <v>75003</v>
      </c>
      <c r="E1406" s="60">
        <f t="shared" si="21"/>
        <v>-75003</v>
      </c>
    </row>
    <row r="1407" spans="1:5" x14ac:dyDescent="0.25">
      <c r="A1407" s="60">
        <v>193</v>
      </c>
      <c r="B1407" s="60" t="s">
        <v>119</v>
      </c>
      <c r="C1407" s="60">
        <v>210</v>
      </c>
      <c r="D1407" s="60">
        <v>71816</v>
      </c>
      <c r="E1407" s="60">
        <f t="shared" si="21"/>
        <v>-71816</v>
      </c>
    </row>
    <row r="1408" spans="1:5" x14ac:dyDescent="0.25">
      <c r="A1408" s="60">
        <v>193</v>
      </c>
      <c r="B1408" s="60" t="s">
        <v>119</v>
      </c>
      <c r="C1408" s="60">
        <v>220</v>
      </c>
      <c r="D1408" s="60">
        <v>0</v>
      </c>
      <c r="E1408" s="60">
        <f t="shared" si="21"/>
        <v>0</v>
      </c>
    </row>
    <row r="1409" spans="1:5" x14ac:dyDescent="0.25">
      <c r="A1409" s="60">
        <v>193</v>
      </c>
      <c r="B1409" s="60" t="s">
        <v>119</v>
      </c>
      <c r="C1409" s="60">
        <v>230</v>
      </c>
      <c r="D1409" s="60">
        <v>47616</v>
      </c>
      <c r="E1409" s="60">
        <f t="shared" si="21"/>
        <v>-47616</v>
      </c>
    </row>
    <row r="1410" spans="1:5" x14ac:dyDescent="0.25">
      <c r="A1410" s="60">
        <v>193</v>
      </c>
      <c r="B1410" s="60" t="s">
        <v>119</v>
      </c>
      <c r="C1410" s="60">
        <v>270</v>
      </c>
      <c r="D1410" s="60">
        <v>0</v>
      </c>
      <c r="E1410" s="60">
        <f t="shared" ref="E1410:E1473" si="22">IF(C1410&lt;100,D1410,D1410*-1)</f>
        <v>0</v>
      </c>
    </row>
    <row r="1411" spans="1:5" x14ac:dyDescent="0.25">
      <c r="A1411" s="60">
        <v>193</v>
      </c>
      <c r="B1411" s="60" t="s">
        <v>120</v>
      </c>
      <c r="C1411" s="60">
        <v>1</v>
      </c>
      <c r="D1411" s="60">
        <v>1172274</v>
      </c>
      <c r="E1411" s="60">
        <f t="shared" si="22"/>
        <v>1172274</v>
      </c>
    </row>
    <row r="1412" spans="1:5" x14ac:dyDescent="0.25">
      <c r="A1412" s="60">
        <v>193</v>
      </c>
      <c r="B1412" s="60" t="s">
        <v>120</v>
      </c>
      <c r="C1412" s="60">
        <v>10</v>
      </c>
      <c r="D1412" s="60">
        <v>3034540</v>
      </c>
      <c r="E1412" s="60">
        <f t="shared" si="22"/>
        <v>3034540</v>
      </c>
    </row>
    <row r="1413" spans="1:5" x14ac:dyDescent="0.25">
      <c r="A1413" s="60">
        <v>193</v>
      </c>
      <c r="B1413" s="60" t="s">
        <v>120</v>
      </c>
      <c r="C1413" s="60">
        <v>20</v>
      </c>
      <c r="D1413" s="60">
        <v>0</v>
      </c>
      <c r="E1413" s="60">
        <f t="shared" si="22"/>
        <v>0</v>
      </c>
    </row>
    <row r="1414" spans="1:5" x14ac:dyDescent="0.25">
      <c r="A1414" s="60">
        <v>193</v>
      </c>
      <c r="B1414" s="60" t="s">
        <v>120</v>
      </c>
      <c r="C1414" s="60">
        <v>50</v>
      </c>
      <c r="D1414" s="60">
        <v>0</v>
      </c>
      <c r="E1414" s="60">
        <f t="shared" si="22"/>
        <v>0</v>
      </c>
    </row>
    <row r="1415" spans="1:5" x14ac:dyDescent="0.25">
      <c r="A1415" s="60">
        <v>193</v>
      </c>
      <c r="B1415" s="60" t="s">
        <v>120</v>
      </c>
      <c r="C1415" s="60">
        <v>110</v>
      </c>
      <c r="D1415" s="60">
        <v>2612820</v>
      </c>
      <c r="E1415" s="60">
        <f t="shared" si="22"/>
        <v>-2612820</v>
      </c>
    </row>
    <row r="1416" spans="1:5" x14ac:dyDescent="0.25">
      <c r="A1416" s="60">
        <v>193</v>
      </c>
      <c r="B1416" s="60" t="s">
        <v>120</v>
      </c>
      <c r="C1416" s="60">
        <v>120</v>
      </c>
      <c r="D1416" s="60">
        <v>76840</v>
      </c>
      <c r="E1416" s="60">
        <f t="shared" si="22"/>
        <v>-76840</v>
      </c>
    </row>
    <row r="1417" spans="1:5" x14ac:dyDescent="0.25">
      <c r="A1417" s="60">
        <v>193</v>
      </c>
      <c r="B1417" s="60" t="s">
        <v>120</v>
      </c>
      <c r="C1417" s="60">
        <v>130</v>
      </c>
      <c r="D1417" s="60">
        <v>4460</v>
      </c>
      <c r="E1417" s="60">
        <f t="shared" si="22"/>
        <v>-4460</v>
      </c>
    </row>
    <row r="1418" spans="1:5" x14ac:dyDescent="0.25">
      <c r="A1418" s="60">
        <v>193</v>
      </c>
      <c r="B1418" s="60" t="s">
        <v>120</v>
      </c>
      <c r="C1418" s="60">
        <v>140</v>
      </c>
      <c r="D1418" s="60">
        <v>0</v>
      </c>
      <c r="E1418" s="60">
        <f t="shared" si="22"/>
        <v>0</v>
      </c>
    </row>
    <row r="1419" spans="1:5" x14ac:dyDescent="0.25">
      <c r="A1419" s="60">
        <v>193</v>
      </c>
      <c r="B1419" s="60" t="s">
        <v>120</v>
      </c>
      <c r="C1419" s="60">
        <v>141</v>
      </c>
      <c r="D1419" s="60">
        <v>657660</v>
      </c>
      <c r="E1419" s="60">
        <f t="shared" si="22"/>
        <v>-657660</v>
      </c>
    </row>
    <row r="1420" spans="1:5" x14ac:dyDescent="0.25">
      <c r="A1420" s="60">
        <v>193</v>
      </c>
      <c r="B1420" s="60" t="s">
        <v>120</v>
      </c>
      <c r="C1420" s="60">
        <v>150</v>
      </c>
      <c r="D1420" s="60">
        <v>0</v>
      </c>
      <c r="E1420" s="60">
        <f t="shared" si="22"/>
        <v>0</v>
      </c>
    </row>
    <row r="1421" spans="1:5" x14ac:dyDescent="0.25">
      <c r="A1421" s="60">
        <v>193</v>
      </c>
      <c r="B1421" s="60" t="s">
        <v>120</v>
      </c>
      <c r="C1421" s="60">
        <v>160</v>
      </c>
      <c r="D1421" s="60">
        <v>0</v>
      </c>
      <c r="E1421" s="60">
        <f t="shared" si="22"/>
        <v>0</v>
      </c>
    </row>
    <row r="1422" spans="1:5" x14ac:dyDescent="0.25">
      <c r="A1422" s="60">
        <v>193</v>
      </c>
      <c r="B1422" s="60" t="s">
        <v>120</v>
      </c>
      <c r="C1422" s="60">
        <v>200</v>
      </c>
      <c r="D1422" s="60">
        <v>26165</v>
      </c>
      <c r="E1422" s="60">
        <f t="shared" si="22"/>
        <v>-26165</v>
      </c>
    </row>
    <row r="1423" spans="1:5" x14ac:dyDescent="0.25">
      <c r="A1423" s="60">
        <v>193</v>
      </c>
      <c r="B1423" s="60" t="s">
        <v>120</v>
      </c>
      <c r="C1423" s="60">
        <v>210</v>
      </c>
      <c r="D1423" s="60">
        <v>6362</v>
      </c>
      <c r="E1423" s="60">
        <f t="shared" si="22"/>
        <v>-6362</v>
      </c>
    </row>
    <row r="1424" spans="1:5" x14ac:dyDescent="0.25">
      <c r="A1424" s="60">
        <v>193</v>
      </c>
      <c r="B1424" s="60" t="s">
        <v>120</v>
      </c>
      <c r="C1424" s="60">
        <v>220</v>
      </c>
      <c r="D1424" s="60">
        <v>0</v>
      </c>
      <c r="E1424" s="60">
        <f t="shared" si="22"/>
        <v>0</v>
      </c>
    </row>
    <row r="1425" spans="1:5" x14ac:dyDescent="0.25">
      <c r="A1425" s="60">
        <v>193</v>
      </c>
      <c r="B1425" s="60" t="s">
        <v>120</v>
      </c>
      <c r="C1425" s="60">
        <v>230</v>
      </c>
      <c r="D1425" s="60">
        <v>1248</v>
      </c>
      <c r="E1425" s="60">
        <f t="shared" si="22"/>
        <v>-1248</v>
      </c>
    </row>
    <row r="1426" spans="1:5" x14ac:dyDescent="0.25">
      <c r="A1426" s="60">
        <v>193</v>
      </c>
      <c r="B1426" s="60" t="s">
        <v>120</v>
      </c>
      <c r="C1426" s="60">
        <v>260</v>
      </c>
      <c r="D1426" s="60">
        <v>0</v>
      </c>
      <c r="E1426" s="60">
        <f t="shared" si="22"/>
        <v>0</v>
      </c>
    </row>
    <row r="1427" spans="1:5" x14ac:dyDescent="0.25">
      <c r="A1427" s="60">
        <v>193</v>
      </c>
      <c r="B1427" s="60" t="s">
        <v>120</v>
      </c>
      <c r="C1427" s="60">
        <v>270</v>
      </c>
      <c r="D1427" s="60">
        <v>0</v>
      </c>
      <c r="E1427" s="60">
        <f t="shared" si="22"/>
        <v>0</v>
      </c>
    </row>
    <row r="1428" spans="1:5" x14ac:dyDescent="0.25">
      <c r="A1428" s="60">
        <v>194</v>
      </c>
      <c r="B1428" s="60" t="s">
        <v>117</v>
      </c>
      <c r="C1428" s="60">
        <v>1</v>
      </c>
      <c r="D1428" s="60">
        <v>22876236</v>
      </c>
      <c r="E1428" s="60">
        <f t="shared" si="22"/>
        <v>22876236</v>
      </c>
    </row>
    <row r="1429" spans="1:5" x14ac:dyDescent="0.25">
      <c r="A1429" s="60">
        <v>194</v>
      </c>
      <c r="B1429" s="60" t="s">
        <v>117</v>
      </c>
      <c r="C1429" s="60">
        <v>10</v>
      </c>
      <c r="D1429" s="60">
        <v>0</v>
      </c>
      <c r="E1429" s="60">
        <f t="shared" si="22"/>
        <v>0</v>
      </c>
    </row>
    <row r="1430" spans="1:5" x14ac:dyDescent="0.25">
      <c r="A1430" s="60">
        <v>194</v>
      </c>
      <c r="B1430" s="60" t="s">
        <v>117</v>
      </c>
      <c r="C1430" s="60">
        <v>50</v>
      </c>
      <c r="D1430" s="60">
        <v>0</v>
      </c>
      <c r="E1430" s="60">
        <f t="shared" si="22"/>
        <v>0</v>
      </c>
    </row>
    <row r="1431" spans="1:5" x14ac:dyDescent="0.25">
      <c r="A1431" s="60">
        <v>194</v>
      </c>
      <c r="B1431" s="60" t="s">
        <v>117</v>
      </c>
      <c r="C1431" s="60">
        <v>60</v>
      </c>
      <c r="D1431" s="60">
        <v>0</v>
      </c>
      <c r="E1431" s="60">
        <f t="shared" si="22"/>
        <v>0</v>
      </c>
    </row>
    <row r="1432" spans="1:5" x14ac:dyDescent="0.25">
      <c r="A1432" s="60">
        <v>194</v>
      </c>
      <c r="B1432" s="60" t="s">
        <v>117</v>
      </c>
      <c r="C1432" s="60">
        <v>70</v>
      </c>
      <c r="D1432" s="60">
        <v>0</v>
      </c>
      <c r="E1432" s="60">
        <f t="shared" si="22"/>
        <v>0</v>
      </c>
    </row>
    <row r="1433" spans="1:5" x14ac:dyDescent="0.25">
      <c r="A1433" s="60">
        <v>194</v>
      </c>
      <c r="B1433" s="60" t="s">
        <v>117</v>
      </c>
      <c r="C1433" s="60">
        <v>110</v>
      </c>
      <c r="D1433" s="60">
        <v>0</v>
      </c>
      <c r="E1433" s="60">
        <f t="shared" si="22"/>
        <v>0</v>
      </c>
    </row>
    <row r="1434" spans="1:5" x14ac:dyDescent="0.25">
      <c r="A1434" s="60">
        <v>194</v>
      </c>
      <c r="B1434" s="60" t="s">
        <v>117</v>
      </c>
      <c r="C1434" s="60">
        <v>120</v>
      </c>
      <c r="D1434" s="60">
        <v>0</v>
      </c>
      <c r="E1434" s="60">
        <f t="shared" si="22"/>
        <v>0</v>
      </c>
    </row>
    <row r="1435" spans="1:5" x14ac:dyDescent="0.25">
      <c r="A1435" s="60">
        <v>194</v>
      </c>
      <c r="B1435" s="60" t="s">
        <v>117</v>
      </c>
      <c r="C1435" s="60">
        <v>130</v>
      </c>
      <c r="D1435" s="60">
        <v>0</v>
      </c>
      <c r="E1435" s="60">
        <f t="shared" si="22"/>
        <v>0</v>
      </c>
    </row>
    <row r="1436" spans="1:5" x14ac:dyDescent="0.25">
      <c r="A1436" s="60">
        <v>194</v>
      </c>
      <c r="B1436" s="60" t="s">
        <v>117</v>
      </c>
      <c r="C1436" s="60">
        <v>140</v>
      </c>
      <c r="D1436" s="60">
        <v>555280</v>
      </c>
      <c r="E1436" s="60">
        <f t="shared" si="22"/>
        <v>-555280</v>
      </c>
    </row>
    <row r="1437" spans="1:5" x14ac:dyDescent="0.25">
      <c r="A1437" s="60">
        <v>194</v>
      </c>
      <c r="B1437" s="60" t="s">
        <v>117</v>
      </c>
      <c r="C1437" s="60">
        <v>200</v>
      </c>
      <c r="D1437" s="60">
        <v>0</v>
      </c>
      <c r="E1437" s="60">
        <f t="shared" si="22"/>
        <v>0</v>
      </c>
    </row>
    <row r="1438" spans="1:5" x14ac:dyDescent="0.25">
      <c r="A1438" s="60">
        <v>194</v>
      </c>
      <c r="B1438" s="60" t="s">
        <v>117</v>
      </c>
      <c r="C1438" s="60">
        <v>210</v>
      </c>
      <c r="D1438" s="60">
        <v>0</v>
      </c>
      <c r="E1438" s="60">
        <f t="shared" si="22"/>
        <v>0</v>
      </c>
    </row>
    <row r="1439" spans="1:5" x14ac:dyDescent="0.25">
      <c r="A1439" s="60">
        <v>194</v>
      </c>
      <c r="B1439" s="60" t="s">
        <v>117</v>
      </c>
      <c r="C1439" s="60">
        <v>230</v>
      </c>
      <c r="D1439" s="60">
        <v>0</v>
      </c>
      <c r="E1439" s="60">
        <f t="shared" si="22"/>
        <v>0</v>
      </c>
    </row>
    <row r="1440" spans="1:5" x14ac:dyDescent="0.25">
      <c r="A1440" s="60">
        <v>194</v>
      </c>
      <c r="B1440" s="60" t="s">
        <v>117</v>
      </c>
      <c r="C1440" s="60">
        <v>270</v>
      </c>
      <c r="D1440" s="60">
        <v>0</v>
      </c>
      <c r="E1440" s="60">
        <f t="shared" si="22"/>
        <v>0</v>
      </c>
    </row>
    <row r="1441" spans="1:5" x14ac:dyDescent="0.25">
      <c r="A1441" s="60">
        <v>194</v>
      </c>
      <c r="B1441" s="60" t="s">
        <v>118</v>
      </c>
      <c r="C1441" s="60">
        <v>1</v>
      </c>
      <c r="D1441" s="60">
        <v>0</v>
      </c>
      <c r="E1441" s="60">
        <f t="shared" si="22"/>
        <v>0</v>
      </c>
    </row>
    <row r="1442" spans="1:5" x14ac:dyDescent="0.25">
      <c r="A1442" s="60">
        <v>194</v>
      </c>
      <c r="B1442" s="60" t="s">
        <v>118</v>
      </c>
      <c r="C1442" s="60">
        <v>10</v>
      </c>
      <c r="D1442" s="60">
        <v>0</v>
      </c>
      <c r="E1442" s="60">
        <f t="shared" si="22"/>
        <v>0</v>
      </c>
    </row>
    <row r="1443" spans="1:5" x14ac:dyDescent="0.25">
      <c r="A1443" s="60">
        <v>194</v>
      </c>
      <c r="B1443" s="60" t="s">
        <v>118</v>
      </c>
      <c r="C1443" s="60">
        <v>20</v>
      </c>
      <c r="D1443" s="60">
        <v>0</v>
      </c>
      <c r="E1443" s="60">
        <f t="shared" si="22"/>
        <v>0</v>
      </c>
    </row>
    <row r="1444" spans="1:5" x14ac:dyDescent="0.25">
      <c r="A1444" s="60">
        <v>194</v>
      </c>
      <c r="B1444" s="60" t="s">
        <v>118</v>
      </c>
      <c r="C1444" s="60">
        <v>50</v>
      </c>
      <c r="D1444" s="60">
        <v>0</v>
      </c>
      <c r="E1444" s="60">
        <f t="shared" si="22"/>
        <v>0</v>
      </c>
    </row>
    <row r="1445" spans="1:5" x14ac:dyDescent="0.25">
      <c r="A1445" s="60">
        <v>194</v>
      </c>
      <c r="B1445" s="60" t="s">
        <v>118</v>
      </c>
      <c r="C1445" s="60">
        <v>70</v>
      </c>
      <c r="D1445" s="60">
        <v>0</v>
      </c>
      <c r="E1445" s="60">
        <f t="shared" si="22"/>
        <v>0</v>
      </c>
    </row>
    <row r="1446" spans="1:5" x14ac:dyDescent="0.25">
      <c r="A1446" s="60">
        <v>194</v>
      </c>
      <c r="B1446" s="60" t="s">
        <v>118</v>
      </c>
      <c r="C1446" s="60">
        <v>110</v>
      </c>
      <c r="D1446" s="60">
        <v>0</v>
      </c>
      <c r="E1446" s="60">
        <f t="shared" si="22"/>
        <v>0</v>
      </c>
    </row>
    <row r="1447" spans="1:5" x14ac:dyDescent="0.25">
      <c r="A1447" s="60">
        <v>194</v>
      </c>
      <c r="B1447" s="60" t="s">
        <v>118</v>
      </c>
      <c r="C1447" s="60">
        <v>120</v>
      </c>
      <c r="D1447" s="60">
        <v>0</v>
      </c>
      <c r="E1447" s="60">
        <f t="shared" si="22"/>
        <v>0</v>
      </c>
    </row>
    <row r="1448" spans="1:5" x14ac:dyDescent="0.25">
      <c r="A1448" s="60">
        <v>194</v>
      </c>
      <c r="B1448" s="60" t="s">
        <v>118</v>
      </c>
      <c r="C1448" s="60">
        <v>130</v>
      </c>
      <c r="D1448" s="60">
        <v>0</v>
      </c>
      <c r="E1448" s="60">
        <f t="shared" si="22"/>
        <v>0</v>
      </c>
    </row>
    <row r="1449" spans="1:5" x14ac:dyDescent="0.25">
      <c r="A1449" s="60">
        <v>194</v>
      </c>
      <c r="B1449" s="60" t="s">
        <v>118</v>
      </c>
      <c r="C1449" s="60">
        <v>140</v>
      </c>
      <c r="D1449" s="60">
        <v>0</v>
      </c>
      <c r="E1449" s="60">
        <f t="shared" si="22"/>
        <v>0</v>
      </c>
    </row>
    <row r="1450" spans="1:5" x14ac:dyDescent="0.25">
      <c r="A1450" s="60">
        <v>194</v>
      </c>
      <c r="B1450" s="60" t="s">
        <v>118</v>
      </c>
      <c r="C1450" s="60">
        <v>200</v>
      </c>
      <c r="D1450" s="60">
        <v>0</v>
      </c>
      <c r="E1450" s="60">
        <f t="shared" si="22"/>
        <v>0</v>
      </c>
    </row>
    <row r="1451" spans="1:5" x14ac:dyDescent="0.25">
      <c r="A1451" s="60">
        <v>194</v>
      </c>
      <c r="B1451" s="60" t="s">
        <v>118</v>
      </c>
      <c r="C1451" s="60">
        <v>210</v>
      </c>
      <c r="D1451" s="60">
        <v>0</v>
      </c>
      <c r="E1451" s="60">
        <f t="shared" si="22"/>
        <v>0</v>
      </c>
    </row>
    <row r="1452" spans="1:5" x14ac:dyDescent="0.25">
      <c r="A1452" s="60">
        <v>194</v>
      </c>
      <c r="B1452" s="60" t="s">
        <v>118</v>
      </c>
      <c r="C1452" s="60">
        <v>220</v>
      </c>
      <c r="D1452" s="60">
        <v>0</v>
      </c>
      <c r="E1452" s="60">
        <f t="shared" si="22"/>
        <v>0</v>
      </c>
    </row>
    <row r="1453" spans="1:5" x14ac:dyDescent="0.25">
      <c r="A1453" s="60">
        <v>194</v>
      </c>
      <c r="B1453" s="60" t="s">
        <v>118</v>
      </c>
      <c r="C1453" s="60">
        <v>230</v>
      </c>
      <c r="D1453" s="60">
        <v>0</v>
      </c>
      <c r="E1453" s="60">
        <f t="shared" si="22"/>
        <v>0</v>
      </c>
    </row>
    <row r="1454" spans="1:5" x14ac:dyDescent="0.25">
      <c r="A1454" s="60">
        <v>194</v>
      </c>
      <c r="B1454" s="60" t="s">
        <v>118</v>
      </c>
      <c r="C1454" s="60">
        <v>260</v>
      </c>
      <c r="D1454" s="60">
        <v>0</v>
      </c>
      <c r="E1454" s="60">
        <f t="shared" si="22"/>
        <v>0</v>
      </c>
    </row>
    <row r="1455" spans="1:5" x14ac:dyDescent="0.25">
      <c r="A1455" s="60">
        <v>194</v>
      </c>
      <c r="B1455" s="60" t="s">
        <v>118</v>
      </c>
      <c r="C1455" s="60">
        <v>270</v>
      </c>
      <c r="D1455" s="60">
        <v>0</v>
      </c>
      <c r="E1455" s="60">
        <f t="shared" si="22"/>
        <v>0</v>
      </c>
    </row>
    <row r="1456" spans="1:5" x14ac:dyDescent="0.25">
      <c r="A1456" s="60">
        <v>194</v>
      </c>
      <c r="B1456" s="60" t="s">
        <v>119</v>
      </c>
      <c r="C1456" s="60">
        <v>1</v>
      </c>
      <c r="D1456" s="60">
        <v>0</v>
      </c>
      <c r="E1456" s="60">
        <f t="shared" si="22"/>
        <v>0</v>
      </c>
    </row>
    <row r="1457" spans="1:5" x14ac:dyDescent="0.25">
      <c r="A1457" s="60">
        <v>194</v>
      </c>
      <c r="B1457" s="60" t="s">
        <v>119</v>
      </c>
      <c r="C1457" s="60">
        <v>10</v>
      </c>
      <c r="D1457" s="60">
        <v>0</v>
      </c>
      <c r="E1457" s="60">
        <f t="shared" si="22"/>
        <v>0</v>
      </c>
    </row>
    <row r="1458" spans="1:5" x14ac:dyDescent="0.25">
      <c r="A1458" s="60">
        <v>194</v>
      </c>
      <c r="B1458" s="60" t="s">
        <v>119</v>
      </c>
      <c r="C1458" s="60">
        <v>20</v>
      </c>
      <c r="D1458" s="60">
        <v>0</v>
      </c>
      <c r="E1458" s="60">
        <f t="shared" si="22"/>
        <v>0</v>
      </c>
    </row>
    <row r="1459" spans="1:5" x14ac:dyDescent="0.25">
      <c r="A1459" s="60">
        <v>194</v>
      </c>
      <c r="B1459" s="60" t="s">
        <v>119</v>
      </c>
      <c r="C1459" s="60">
        <v>70</v>
      </c>
      <c r="D1459" s="60">
        <v>0</v>
      </c>
      <c r="E1459" s="60">
        <f t="shared" si="22"/>
        <v>0</v>
      </c>
    </row>
    <row r="1460" spans="1:5" x14ac:dyDescent="0.25">
      <c r="A1460" s="60">
        <v>194</v>
      </c>
      <c r="B1460" s="60" t="s">
        <v>119</v>
      </c>
      <c r="C1460" s="60">
        <v>110</v>
      </c>
      <c r="D1460" s="60">
        <v>0</v>
      </c>
      <c r="E1460" s="60">
        <f t="shared" si="22"/>
        <v>0</v>
      </c>
    </row>
    <row r="1461" spans="1:5" x14ac:dyDescent="0.25">
      <c r="A1461" s="60">
        <v>194</v>
      </c>
      <c r="B1461" s="60" t="s">
        <v>119</v>
      </c>
      <c r="C1461" s="60">
        <v>120</v>
      </c>
      <c r="D1461" s="60">
        <v>0</v>
      </c>
      <c r="E1461" s="60">
        <f t="shared" si="22"/>
        <v>0</v>
      </c>
    </row>
    <row r="1462" spans="1:5" x14ac:dyDescent="0.25">
      <c r="A1462" s="60">
        <v>194</v>
      </c>
      <c r="B1462" s="60" t="s">
        <v>119</v>
      </c>
      <c r="C1462" s="60">
        <v>140</v>
      </c>
      <c r="D1462" s="60">
        <v>0</v>
      </c>
      <c r="E1462" s="60">
        <f t="shared" si="22"/>
        <v>0</v>
      </c>
    </row>
    <row r="1463" spans="1:5" x14ac:dyDescent="0.25">
      <c r="A1463" s="60">
        <v>194</v>
      </c>
      <c r="B1463" s="60" t="s">
        <v>119</v>
      </c>
      <c r="C1463" s="60">
        <v>200</v>
      </c>
      <c r="D1463" s="60">
        <v>0</v>
      </c>
      <c r="E1463" s="60">
        <f t="shared" si="22"/>
        <v>0</v>
      </c>
    </row>
    <row r="1464" spans="1:5" x14ac:dyDescent="0.25">
      <c r="A1464" s="60">
        <v>194</v>
      </c>
      <c r="B1464" s="60" t="s">
        <v>119</v>
      </c>
      <c r="C1464" s="60">
        <v>210</v>
      </c>
      <c r="D1464" s="60">
        <v>0</v>
      </c>
      <c r="E1464" s="60">
        <f t="shared" si="22"/>
        <v>0</v>
      </c>
    </row>
    <row r="1465" spans="1:5" x14ac:dyDescent="0.25">
      <c r="A1465" s="60">
        <v>194</v>
      </c>
      <c r="B1465" s="60" t="s">
        <v>119</v>
      </c>
      <c r="C1465" s="60">
        <v>220</v>
      </c>
      <c r="D1465" s="60">
        <v>0</v>
      </c>
      <c r="E1465" s="60">
        <f t="shared" si="22"/>
        <v>0</v>
      </c>
    </row>
    <row r="1466" spans="1:5" x14ac:dyDescent="0.25">
      <c r="A1466" s="60">
        <v>194</v>
      </c>
      <c r="B1466" s="60" t="s">
        <v>119</v>
      </c>
      <c r="C1466" s="60">
        <v>230</v>
      </c>
      <c r="D1466" s="60">
        <v>0</v>
      </c>
      <c r="E1466" s="60">
        <f t="shared" si="22"/>
        <v>0</v>
      </c>
    </row>
    <row r="1467" spans="1:5" x14ac:dyDescent="0.25">
      <c r="A1467" s="60">
        <v>194</v>
      </c>
      <c r="B1467" s="60" t="s">
        <v>119</v>
      </c>
      <c r="C1467" s="60">
        <v>270</v>
      </c>
      <c r="D1467" s="60">
        <v>0</v>
      </c>
      <c r="E1467" s="60">
        <f t="shared" si="22"/>
        <v>0</v>
      </c>
    </row>
    <row r="1468" spans="1:5" x14ac:dyDescent="0.25">
      <c r="A1468" s="60">
        <v>194</v>
      </c>
      <c r="B1468" s="60" t="s">
        <v>120</v>
      </c>
      <c r="C1468" s="60">
        <v>1</v>
      </c>
      <c r="D1468" s="60">
        <v>0</v>
      </c>
      <c r="E1468" s="60">
        <f t="shared" si="22"/>
        <v>0</v>
      </c>
    </row>
    <row r="1469" spans="1:5" x14ac:dyDescent="0.25">
      <c r="A1469" s="60">
        <v>194</v>
      </c>
      <c r="B1469" s="60" t="s">
        <v>120</v>
      </c>
      <c r="C1469" s="60">
        <v>10</v>
      </c>
      <c r="D1469" s="60">
        <v>0</v>
      </c>
      <c r="E1469" s="60">
        <f t="shared" si="22"/>
        <v>0</v>
      </c>
    </row>
    <row r="1470" spans="1:5" x14ac:dyDescent="0.25">
      <c r="A1470" s="60">
        <v>194</v>
      </c>
      <c r="B1470" s="60" t="s">
        <v>120</v>
      </c>
      <c r="C1470" s="60">
        <v>20</v>
      </c>
      <c r="D1470" s="60">
        <v>0</v>
      </c>
      <c r="E1470" s="60">
        <f t="shared" si="22"/>
        <v>0</v>
      </c>
    </row>
    <row r="1471" spans="1:5" x14ac:dyDescent="0.25">
      <c r="A1471" s="60">
        <v>194</v>
      </c>
      <c r="B1471" s="60" t="s">
        <v>120</v>
      </c>
      <c r="C1471" s="60">
        <v>50</v>
      </c>
      <c r="D1471" s="60">
        <v>0</v>
      </c>
      <c r="E1471" s="60">
        <f t="shared" si="22"/>
        <v>0</v>
      </c>
    </row>
    <row r="1472" spans="1:5" x14ac:dyDescent="0.25">
      <c r="A1472" s="60">
        <v>194</v>
      </c>
      <c r="B1472" s="60" t="s">
        <v>120</v>
      </c>
      <c r="C1472" s="60">
        <v>110</v>
      </c>
      <c r="D1472" s="60">
        <v>0</v>
      </c>
      <c r="E1472" s="60">
        <f t="shared" si="22"/>
        <v>0</v>
      </c>
    </row>
    <row r="1473" spans="1:5" x14ac:dyDescent="0.25">
      <c r="A1473" s="60">
        <v>194</v>
      </c>
      <c r="B1473" s="60" t="s">
        <v>120</v>
      </c>
      <c r="C1473" s="60">
        <v>120</v>
      </c>
      <c r="D1473" s="60">
        <v>0</v>
      </c>
      <c r="E1473" s="60">
        <f t="shared" si="22"/>
        <v>0</v>
      </c>
    </row>
    <row r="1474" spans="1:5" x14ac:dyDescent="0.25">
      <c r="A1474" s="60">
        <v>194</v>
      </c>
      <c r="B1474" s="60" t="s">
        <v>120</v>
      </c>
      <c r="C1474" s="60">
        <v>140</v>
      </c>
      <c r="D1474" s="60">
        <v>0</v>
      </c>
      <c r="E1474" s="60">
        <f t="shared" ref="E1474:E1537" si="23">IF(C1474&lt;100,D1474,D1474*-1)</f>
        <v>0</v>
      </c>
    </row>
    <row r="1475" spans="1:5" x14ac:dyDescent="0.25">
      <c r="A1475" s="60">
        <v>194</v>
      </c>
      <c r="B1475" s="60" t="s">
        <v>120</v>
      </c>
      <c r="C1475" s="60">
        <v>200</v>
      </c>
      <c r="D1475" s="60">
        <v>0</v>
      </c>
      <c r="E1475" s="60">
        <f t="shared" si="23"/>
        <v>0</v>
      </c>
    </row>
    <row r="1476" spans="1:5" x14ac:dyDescent="0.25">
      <c r="A1476" s="60">
        <v>194</v>
      </c>
      <c r="B1476" s="60" t="s">
        <v>120</v>
      </c>
      <c r="C1476" s="60">
        <v>220</v>
      </c>
      <c r="D1476" s="60">
        <v>0</v>
      </c>
      <c r="E1476" s="60">
        <f t="shared" si="23"/>
        <v>0</v>
      </c>
    </row>
    <row r="1477" spans="1:5" x14ac:dyDescent="0.25">
      <c r="A1477" s="60">
        <v>194</v>
      </c>
      <c r="B1477" s="60" t="s">
        <v>120</v>
      </c>
      <c r="C1477" s="60">
        <v>230</v>
      </c>
      <c r="D1477" s="60">
        <v>0</v>
      </c>
      <c r="E1477" s="60">
        <f t="shared" si="23"/>
        <v>0</v>
      </c>
    </row>
    <row r="1478" spans="1:5" x14ac:dyDescent="0.25">
      <c r="A1478" s="60">
        <v>194</v>
      </c>
      <c r="B1478" s="60" t="s">
        <v>120</v>
      </c>
      <c r="C1478" s="60">
        <v>270</v>
      </c>
      <c r="D1478" s="60">
        <v>0</v>
      </c>
      <c r="E1478" s="60">
        <f t="shared" si="23"/>
        <v>0</v>
      </c>
    </row>
    <row r="1479" spans="1:5" x14ac:dyDescent="0.25">
      <c r="A1479" s="60">
        <v>195</v>
      </c>
      <c r="B1479" s="60" t="s">
        <v>117</v>
      </c>
      <c r="C1479" s="60">
        <v>1</v>
      </c>
      <c r="D1479" s="60">
        <v>9175979</v>
      </c>
      <c r="E1479" s="60">
        <f t="shared" si="23"/>
        <v>9175979</v>
      </c>
    </row>
    <row r="1480" spans="1:5" x14ac:dyDescent="0.25">
      <c r="A1480" s="60">
        <v>195</v>
      </c>
      <c r="B1480" s="60" t="s">
        <v>117</v>
      </c>
      <c r="C1480" s="60">
        <v>10</v>
      </c>
      <c r="D1480" s="60">
        <v>12066340</v>
      </c>
      <c r="E1480" s="60">
        <f t="shared" si="23"/>
        <v>12066340</v>
      </c>
    </row>
    <row r="1481" spans="1:5" x14ac:dyDescent="0.25">
      <c r="A1481" s="60">
        <v>195</v>
      </c>
      <c r="B1481" s="60" t="s">
        <v>117</v>
      </c>
      <c r="C1481" s="60">
        <v>20</v>
      </c>
      <c r="D1481" s="60">
        <v>0</v>
      </c>
      <c r="E1481" s="60">
        <f t="shared" si="23"/>
        <v>0</v>
      </c>
    </row>
    <row r="1482" spans="1:5" x14ac:dyDescent="0.25">
      <c r="A1482" s="60">
        <v>195</v>
      </c>
      <c r="B1482" s="60" t="s">
        <v>117</v>
      </c>
      <c r="C1482" s="60">
        <v>50</v>
      </c>
      <c r="D1482" s="60">
        <v>0</v>
      </c>
      <c r="E1482" s="60">
        <f t="shared" si="23"/>
        <v>0</v>
      </c>
    </row>
    <row r="1483" spans="1:5" x14ac:dyDescent="0.25">
      <c r="A1483" s="60">
        <v>195</v>
      </c>
      <c r="B1483" s="60" t="s">
        <v>117</v>
      </c>
      <c r="C1483" s="60">
        <v>60</v>
      </c>
      <c r="D1483" s="60">
        <v>344180</v>
      </c>
      <c r="E1483" s="60">
        <f t="shared" si="23"/>
        <v>344180</v>
      </c>
    </row>
    <row r="1484" spans="1:5" x14ac:dyDescent="0.25">
      <c r="A1484" s="60">
        <v>195</v>
      </c>
      <c r="B1484" s="60" t="s">
        <v>117</v>
      </c>
      <c r="C1484" s="60">
        <v>70</v>
      </c>
      <c r="D1484" s="60">
        <v>0</v>
      </c>
      <c r="E1484" s="60">
        <f t="shared" si="23"/>
        <v>0</v>
      </c>
    </row>
    <row r="1485" spans="1:5" x14ac:dyDescent="0.25">
      <c r="A1485" s="60">
        <v>195</v>
      </c>
      <c r="B1485" s="60" t="s">
        <v>117</v>
      </c>
      <c r="C1485" s="60">
        <v>110</v>
      </c>
      <c r="D1485" s="60">
        <v>5558960</v>
      </c>
      <c r="E1485" s="60">
        <f t="shared" si="23"/>
        <v>-5558960</v>
      </c>
    </row>
    <row r="1486" spans="1:5" x14ac:dyDescent="0.25">
      <c r="A1486" s="60">
        <v>195</v>
      </c>
      <c r="B1486" s="60" t="s">
        <v>117</v>
      </c>
      <c r="C1486" s="60">
        <v>120</v>
      </c>
      <c r="D1486" s="60">
        <v>2780</v>
      </c>
      <c r="E1486" s="60">
        <f t="shared" si="23"/>
        <v>-2780</v>
      </c>
    </row>
    <row r="1487" spans="1:5" x14ac:dyDescent="0.25">
      <c r="A1487" s="60">
        <v>195</v>
      </c>
      <c r="B1487" s="60" t="s">
        <v>117</v>
      </c>
      <c r="C1487" s="60">
        <v>130</v>
      </c>
      <c r="D1487" s="60">
        <v>0</v>
      </c>
      <c r="E1487" s="60">
        <f t="shared" si="23"/>
        <v>0</v>
      </c>
    </row>
    <row r="1488" spans="1:5" x14ac:dyDescent="0.25">
      <c r="A1488" s="60">
        <v>195</v>
      </c>
      <c r="B1488" s="60" t="s">
        <v>117</v>
      </c>
      <c r="C1488" s="60">
        <v>140</v>
      </c>
      <c r="D1488" s="60">
        <v>4349780</v>
      </c>
      <c r="E1488" s="60">
        <f t="shared" si="23"/>
        <v>-4349780</v>
      </c>
    </row>
    <row r="1489" spans="1:5" x14ac:dyDescent="0.25">
      <c r="A1489" s="60">
        <v>195</v>
      </c>
      <c r="B1489" s="60" t="s">
        <v>117</v>
      </c>
      <c r="C1489" s="60">
        <v>141</v>
      </c>
      <c r="D1489" s="60">
        <v>3303600</v>
      </c>
      <c r="E1489" s="60">
        <f t="shared" si="23"/>
        <v>-3303600</v>
      </c>
    </row>
    <row r="1490" spans="1:5" x14ac:dyDescent="0.25">
      <c r="A1490" s="60">
        <v>195</v>
      </c>
      <c r="B1490" s="60" t="s">
        <v>117</v>
      </c>
      <c r="C1490" s="60">
        <v>200</v>
      </c>
      <c r="D1490" s="60">
        <v>59906</v>
      </c>
      <c r="E1490" s="60">
        <f t="shared" si="23"/>
        <v>-59906</v>
      </c>
    </row>
    <row r="1491" spans="1:5" x14ac:dyDescent="0.25">
      <c r="A1491" s="60">
        <v>195</v>
      </c>
      <c r="B1491" s="60" t="s">
        <v>117</v>
      </c>
      <c r="C1491" s="60">
        <v>210</v>
      </c>
      <c r="D1491" s="60">
        <v>84302</v>
      </c>
      <c r="E1491" s="60">
        <f t="shared" si="23"/>
        <v>-84302</v>
      </c>
    </row>
    <row r="1492" spans="1:5" x14ac:dyDescent="0.25">
      <c r="A1492" s="60">
        <v>195</v>
      </c>
      <c r="B1492" s="60" t="s">
        <v>117</v>
      </c>
      <c r="C1492" s="60">
        <v>230</v>
      </c>
      <c r="D1492" s="60">
        <v>0</v>
      </c>
      <c r="E1492" s="60">
        <f t="shared" si="23"/>
        <v>0</v>
      </c>
    </row>
    <row r="1493" spans="1:5" x14ac:dyDescent="0.25">
      <c r="A1493" s="60">
        <v>195</v>
      </c>
      <c r="B1493" s="60" t="s">
        <v>117</v>
      </c>
      <c r="C1493" s="60">
        <v>270</v>
      </c>
      <c r="D1493" s="60">
        <v>0</v>
      </c>
      <c r="E1493" s="60">
        <f t="shared" si="23"/>
        <v>0</v>
      </c>
    </row>
    <row r="1494" spans="1:5" x14ac:dyDescent="0.25">
      <c r="A1494" s="60">
        <v>195</v>
      </c>
      <c r="B1494" s="60" t="s">
        <v>118</v>
      </c>
      <c r="C1494" s="60">
        <v>1</v>
      </c>
      <c r="D1494" s="60">
        <v>1514118</v>
      </c>
      <c r="E1494" s="60">
        <f t="shared" si="23"/>
        <v>1514118</v>
      </c>
    </row>
    <row r="1495" spans="1:5" x14ac:dyDescent="0.25">
      <c r="A1495" s="60">
        <v>195</v>
      </c>
      <c r="B1495" s="60" t="s">
        <v>118</v>
      </c>
      <c r="C1495" s="60">
        <v>10</v>
      </c>
      <c r="D1495" s="60">
        <v>7823640</v>
      </c>
      <c r="E1495" s="60">
        <f t="shared" si="23"/>
        <v>7823640</v>
      </c>
    </row>
    <row r="1496" spans="1:5" x14ac:dyDescent="0.25">
      <c r="A1496" s="60">
        <v>195</v>
      </c>
      <c r="B1496" s="60" t="s">
        <v>118</v>
      </c>
      <c r="C1496" s="60">
        <v>20</v>
      </c>
      <c r="D1496" s="60">
        <v>0</v>
      </c>
      <c r="E1496" s="60">
        <f t="shared" si="23"/>
        <v>0</v>
      </c>
    </row>
    <row r="1497" spans="1:5" x14ac:dyDescent="0.25">
      <c r="A1497" s="60">
        <v>195</v>
      </c>
      <c r="B1497" s="60" t="s">
        <v>118</v>
      </c>
      <c r="C1497" s="60">
        <v>50</v>
      </c>
      <c r="D1497" s="60">
        <v>197180</v>
      </c>
      <c r="E1497" s="60">
        <f t="shared" si="23"/>
        <v>197180</v>
      </c>
    </row>
    <row r="1498" spans="1:5" x14ac:dyDescent="0.25">
      <c r="A1498" s="60">
        <v>195</v>
      </c>
      <c r="B1498" s="60" t="s">
        <v>118</v>
      </c>
      <c r="C1498" s="60">
        <v>60</v>
      </c>
      <c r="D1498" s="60">
        <v>0</v>
      </c>
      <c r="E1498" s="60">
        <f t="shared" si="23"/>
        <v>0</v>
      </c>
    </row>
    <row r="1499" spans="1:5" x14ac:dyDescent="0.25">
      <c r="A1499" s="60">
        <v>195</v>
      </c>
      <c r="B1499" s="60" t="s">
        <v>118</v>
      </c>
      <c r="C1499" s="60">
        <v>70</v>
      </c>
      <c r="D1499" s="60">
        <v>0</v>
      </c>
      <c r="E1499" s="60">
        <f t="shared" si="23"/>
        <v>0</v>
      </c>
    </row>
    <row r="1500" spans="1:5" x14ac:dyDescent="0.25">
      <c r="A1500" s="60">
        <v>195</v>
      </c>
      <c r="B1500" s="60" t="s">
        <v>118</v>
      </c>
      <c r="C1500" s="60">
        <v>110</v>
      </c>
      <c r="D1500" s="60">
        <v>0</v>
      </c>
      <c r="E1500" s="60">
        <f t="shared" si="23"/>
        <v>0</v>
      </c>
    </row>
    <row r="1501" spans="1:5" x14ac:dyDescent="0.25">
      <c r="A1501" s="60">
        <v>195</v>
      </c>
      <c r="B1501" s="60" t="s">
        <v>118</v>
      </c>
      <c r="C1501" s="60">
        <v>120</v>
      </c>
      <c r="D1501" s="60">
        <v>11220</v>
      </c>
      <c r="E1501" s="60">
        <f t="shared" si="23"/>
        <v>-11220</v>
      </c>
    </row>
    <row r="1502" spans="1:5" x14ac:dyDescent="0.25">
      <c r="A1502" s="60">
        <v>195</v>
      </c>
      <c r="B1502" s="60" t="s">
        <v>118</v>
      </c>
      <c r="C1502" s="60">
        <v>130</v>
      </c>
      <c r="D1502" s="60">
        <v>0</v>
      </c>
      <c r="E1502" s="60">
        <f t="shared" si="23"/>
        <v>0</v>
      </c>
    </row>
    <row r="1503" spans="1:5" x14ac:dyDescent="0.25">
      <c r="A1503" s="60">
        <v>195</v>
      </c>
      <c r="B1503" s="60" t="s">
        <v>118</v>
      </c>
      <c r="C1503" s="60">
        <v>140</v>
      </c>
      <c r="D1503" s="60">
        <v>219300</v>
      </c>
      <c r="E1503" s="60">
        <f t="shared" si="23"/>
        <v>-219300</v>
      </c>
    </row>
    <row r="1504" spans="1:5" x14ac:dyDescent="0.25">
      <c r="A1504" s="60">
        <v>195</v>
      </c>
      <c r="B1504" s="60" t="s">
        <v>118</v>
      </c>
      <c r="C1504" s="60">
        <v>141</v>
      </c>
      <c r="D1504" s="60">
        <v>4758520</v>
      </c>
      <c r="E1504" s="60">
        <f t="shared" si="23"/>
        <v>-4758520</v>
      </c>
    </row>
    <row r="1505" spans="1:5" x14ac:dyDescent="0.25">
      <c r="A1505" s="60">
        <v>195</v>
      </c>
      <c r="B1505" s="60" t="s">
        <v>118</v>
      </c>
      <c r="C1505" s="60">
        <v>200</v>
      </c>
      <c r="D1505" s="60">
        <v>39118</v>
      </c>
      <c r="E1505" s="60">
        <f t="shared" si="23"/>
        <v>-39118</v>
      </c>
    </row>
    <row r="1506" spans="1:5" x14ac:dyDescent="0.25">
      <c r="A1506" s="60">
        <v>195</v>
      </c>
      <c r="B1506" s="60" t="s">
        <v>118</v>
      </c>
      <c r="C1506" s="60">
        <v>220</v>
      </c>
      <c r="D1506" s="60">
        <v>185858</v>
      </c>
      <c r="E1506" s="60">
        <f t="shared" si="23"/>
        <v>-185858</v>
      </c>
    </row>
    <row r="1507" spans="1:5" x14ac:dyDescent="0.25">
      <c r="A1507" s="60">
        <v>195</v>
      </c>
      <c r="B1507" s="60" t="s">
        <v>118</v>
      </c>
      <c r="C1507" s="60">
        <v>230</v>
      </c>
      <c r="D1507" s="60">
        <v>116525</v>
      </c>
      <c r="E1507" s="60">
        <f t="shared" si="23"/>
        <v>-116525</v>
      </c>
    </row>
    <row r="1508" spans="1:5" x14ac:dyDescent="0.25">
      <c r="A1508" s="60">
        <v>195</v>
      </c>
      <c r="B1508" s="60" t="s">
        <v>118</v>
      </c>
      <c r="C1508" s="60">
        <v>270</v>
      </c>
      <c r="D1508" s="60">
        <v>0</v>
      </c>
      <c r="E1508" s="60">
        <f t="shared" si="23"/>
        <v>0</v>
      </c>
    </row>
    <row r="1509" spans="1:5" x14ac:dyDescent="0.25">
      <c r="A1509" s="60">
        <v>195</v>
      </c>
      <c r="B1509" s="60" t="s">
        <v>119</v>
      </c>
      <c r="C1509" s="60">
        <v>1</v>
      </c>
      <c r="D1509" s="60">
        <v>8006648</v>
      </c>
      <c r="E1509" s="60">
        <f t="shared" si="23"/>
        <v>8006648</v>
      </c>
    </row>
    <row r="1510" spans="1:5" x14ac:dyDescent="0.25">
      <c r="A1510" s="60">
        <v>195</v>
      </c>
      <c r="B1510" s="60" t="s">
        <v>119</v>
      </c>
      <c r="C1510" s="60">
        <v>10</v>
      </c>
      <c r="D1510" s="60">
        <v>12490060</v>
      </c>
      <c r="E1510" s="60">
        <f t="shared" si="23"/>
        <v>12490060</v>
      </c>
    </row>
    <row r="1511" spans="1:5" x14ac:dyDescent="0.25">
      <c r="A1511" s="60">
        <v>195</v>
      </c>
      <c r="B1511" s="60" t="s">
        <v>119</v>
      </c>
      <c r="C1511" s="60">
        <v>20</v>
      </c>
      <c r="D1511" s="60">
        <v>0</v>
      </c>
      <c r="E1511" s="60">
        <f t="shared" si="23"/>
        <v>0</v>
      </c>
    </row>
    <row r="1512" spans="1:5" x14ac:dyDescent="0.25">
      <c r="A1512" s="60">
        <v>195</v>
      </c>
      <c r="B1512" s="60" t="s">
        <v>119</v>
      </c>
      <c r="C1512" s="60">
        <v>50</v>
      </c>
      <c r="D1512" s="60">
        <v>1429820</v>
      </c>
      <c r="E1512" s="60">
        <f t="shared" si="23"/>
        <v>1429820</v>
      </c>
    </row>
    <row r="1513" spans="1:5" x14ac:dyDescent="0.25">
      <c r="A1513" s="60">
        <v>195</v>
      </c>
      <c r="B1513" s="60" t="s">
        <v>119</v>
      </c>
      <c r="C1513" s="60">
        <v>60</v>
      </c>
      <c r="D1513" s="60">
        <v>0</v>
      </c>
      <c r="E1513" s="60">
        <f t="shared" si="23"/>
        <v>0</v>
      </c>
    </row>
    <row r="1514" spans="1:5" x14ac:dyDescent="0.25">
      <c r="A1514" s="60">
        <v>195</v>
      </c>
      <c r="B1514" s="60" t="s">
        <v>119</v>
      </c>
      <c r="C1514" s="60">
        <v>110</v>
      </c>
      <c r="D1514" s="60">
        <v>8212920</v>
      </c>
      <c r="E1514" s="60">
        <f t="shared" si="23"/>
        <v>-8212920</v>
      </c>
    </row>
    <row r="1515" spans="1:5" x14ac:dyDescent="0.25">
      <c r="A1515" s="60">
        <v>195</v>
      </c>
      <c r="B1515" s="60" t="s">
        <v>119</v>
      </c>
      <c r="C1515" s="60">
        <v>120</v>
      </c>
      <c r="D1515" s="60">
        <v>0</v>
      </c>
      <c r="E1515" s="60">
        <f t="shared" si="23"/>
        <v>0</v>
      </c>
    </row>
    <row r="1516" spans="1:5" x14ac:dyDescent="0.25">
      <c r="A1516" s="60">
        <v>195</v>
      </c>
      <c r="B1516" s="60" t="s">
        <v>119</v>
      </c>
      <c r="C1516" s="60">
        <v>130</v>
      </c>
      <c r="D1516" s="60">
        <v>0</v>
      </c>
      <c r="E1516" s="60">
        <f t="shared" si="23"/>
        <v>0</v>
      </c>
    </row>
    <row r="1517" spans="1:5" x14ac:dyDescent="0.25">
      <c r="A1517" s="60">
        <v>195</v>
      </c>
      <c r="B1517" s="60" t="s">
        <v>119</v>
      </c>
      <c r="C1517" s="60">
        <v>140</v>
      </c>
      <c r="D1517" s="60">
        <v>0</v>
      </c>
      <c r="E1517" s="60">
        <f t="shared" si="23"/>
        <v>0</v>
      </c>
    </row>
    <row r="1518" spans="1:5" x14ac:dyDescent="0.25">
      <c r="A1518" s="60">
        <v>195</v>
      </c>
      <c r="B1518" s="60" t="s">
        <v>119</v>
      </c>
      <c r="C1518" s="60">
        <v>200</v>
      </c>
      <c r="D1518" s="60">
        <v>61666</v>
      </c>
      <c r="E1518" s="60">
        <f t="shared" si="23"/>
        <v>-61666</v>
      </c>
    </row>
    <row r="1519" spans="1:5" x14ac:dyDescent="0.25">
      <c r="A1519" s="60">
        <v>195</v>
      </c>
      <c r="B1519" s="60" t="s">
        <v>119</v>
      </c>
      <c r="C1519" s="60">
        <v>210</v>
      </c>
      <c r="D1519" s="60">
        <v>61807</v>
      </c>
      <c r="E1519" s="60">
        <f t="shared" si="23"/>
        <v>-61807</v>
      </c>
    </row>
    <row r="1520" spans="1:5" x14ac:dyDescent="0.25">
      <c r="A1520" s="60">
        <v>195</v>
      </c>
      <c r="B1520" s="60" t="s">
        <v>119</v>
      </c>
      <c r="C1520" s="60">
        <v>220</v>
      </c>
      <c r="D1520" s="60">
        <v>0</v>
      </c>
      <c r="E1520" s="60">
        <f t="shared" si="23"/>
        <v>0</v>
      </c>
    </row>
    <row r="1521" spans="1:5" x14ac:dyDescent="0.25">
      <c r="A1521" s="60">
        <v>195</v>
      </c>
      <c r="B1521" s="60" t="s">
        <v>119</v>
      </c>
      <c r="C1521" s="60">
        <v>230</v>
      </c>
      <c r="D1521" s="60">
        <v>43227</v>
      </c>
      <c r="E1521" s="60">
        <f t="shared" si="23"/>
        <v>-43227</v>
      </c>
    </row>
    <row r="1522" spans="1:5" x14ac:dyDescent="0.25">
      <c r="A1522" s="60">
        <v>195</v>
      </c>
      <c r="B1522" s="60" t="s">
        <v>119</v>
      </c>
      <c r="C1522" s="60">
        <v>270</v>
      </c>
      <c r="D1522" s="60">
        <v>0</v>
      </c>
      <c r="E1522" s="60">
        <f t="shared" si="23"/>
        <v>0</v>
      </c>
    </row>
    <row r="1523" spans="1:5" x14ac:dyDescent="0.25">
      <c r="A1523" s="60">
        <v>195</v>
      </c>
      <c r="B1523" s="60" t="s">
        <v>120</v>
      </c>
      <c r="C1523" s="60">
        <v>1</v>
      </c>
      <c r="D1523" s="60">
        <v>2907185</v>
      </c>
      <c r="E1523" s="60">
        <f t="shared" si="23"/>
        <v>2907185</v>
      </c>
    </row>
    <row r="1524" spans="1:5" x14ac:dyDescent="0.25">
      <c r="A1524" s="60">
        <v>195</v>
      </c>
      <c r="B1524" s="60" t="s">
        <v>120</v>
      </c>
      <c r="C1524" s="60">
        <v>10</v>
      </c>
      <c r="D1524" s="60">
        <v>5733620</v>
      </c>
      <c r="E1524" s="60">
        <f t="shared" si="23"/>
        <v>5733620</v>
      </c>
    </row>
    <row r="1525" spans="1:5" x14ac:dyDescent="0.25">
      <c r="A1525" s="60">
        <v>195</v>
      </c>
      <c r="B1525" s="60" t="s">
        <v>120</v>
      </c>
      <c r="C1525" s="60">
        <v>20</v>
      </c>
      <c r="D1525" s="60">
        <v>0</v>
      </c>
      <c r="E1525" s="60">
        <f t="shared" si="23"/>
        <v>0</v>
      </c>
    </row>
    <row r="1526" spans="1:5" x14ac:dyDescent="0.25">
      <c r="A1526" s="60">
        <v>195</v>
      </c>
      <c r="B1526" s="60" t="s">
        <v>120</v>
      </c>
      <c r="C1526" s="60">
        <v>50</v>
      </c>
      <c r="D1526" s="60">
        <v>0</v>
      </c>
      <c r="E1526" s="60">
        <f t="shared" si="23"/>
        <v>0</v>
      </c>
    </row>
    <row r="1527" spans="1:5" x14ac:dyDescent="0.25">
      <c r="A1527" s="60">
        <v>195</v>
      </c>
      <c r="B1527" s="60" t="s">
        <v>120</v>
      </c>
      <c r="C1527" s="60">
        <v>60</v>
      </c>
      <c r="D1527" s="60">
        <v>0</v>
      </c>
      <c r="E1527" s="60">
        <f t="shared" si="23"/>
        <v>0</v>
      </c>
    </row>
    <row r="1528" spans="1:5" x14ac:dyDescent="0.25">
      <c r="A1528" s="60">
        <v>195</v>
      </c>
      <c r="B1528" s="60" t="s">
        <v>120</v>
      </c>
      <c r="C1528" s="60">
        <v>110</v>
      </c>
      <c r="D1528" s="60">
        <v>784260</v>
      </c>
      <c r="E1528" s="60">
        <f t="shared" si="23"/>
        <v>-784260</v>
      </c>
    </row>
    <row r="1529" spans="1:5" x14ac:dyDescent="0.25">
      <c r="A1529" s="60">
        <v>195</v>
      </c>
      <c r="B1529" s="60" t="s">
        <v>120</v>
      </c>
      <c r="C1529" s="60">
        <v>120</v>
      </c>
      <c r="D1529" s="60">
        <v>139120</v>
      </c>
      <c r="E1529" s="60">
        <f t="shared" si="23"/>
        <v>-139120</v>
      </c>
    </row>
    <row r="1530" spans="1:5" x14ac:dyDescent="0.25">
      <c r="A1530" s="60">
        <v>195</v>
      </c>
      <c r="B1530" s="60" t="s">
        <v>120</v>
      </c>
      <c r="C1530" s="60">
        <v>130</v>
      </c>
      <c r="D1530" s="60">
        <v>0</v>
      </c>
      <c r="E1530" s="60">
        <f t="shared" si="23"/>
        <v>0</v>
      </c>
    </row>
    <row r="1531" spans="1:5" x14ac:dyDescent="0.25">
      <c r="A1531" s="60">
        <v>195</v>
      </c>
      <c r="B1531" s="60" t="s">
        <v>120</v>
      </c>
      <c r="C1531" s="60">
        <v>140</v>
      </c>
      <c r="D1531" s="60">
        <v>0</v>
      </c>
      <c r="E1531" s="60">
        <f t="shared" si="23"/>
        <v>0</v>
      </c>
    </row>
    <row r="1532" spans="1:5" x14ac:dyDescent="0.25">
      <c r="A1532" s="60">
        <v>195</v>
      </c>
      <c r="B1532" s="60" t="s">
        <v>120</v>
      </c>
      <c r="C1532" s="60">
        <v>141</v>
      </c>
      <c r="D1532" s="60">
        <v>6630660</v>
      </c>
      <c r="E1532" s="60">
        <f t="shared" si="23"/>
        <v>-6630660</v>
      </c>
    </row>
    <row r="1533" spans="1:5" x14ac:dyDescent="0.25">
      <c r="A1533" s="60">
        <v>195</v>
      </c>
      <c r="B1533" s="60" t="s">
        <v>120</v>
      </c>
      <c r="C1533" s="60">
        <v>200</v>
      </c>
      <c r="D1533" s="60">
        <v>48252</v>
      </c>
      <c r="E1533" s="60">
        <f t="shared" si="23"/>
        <v>-48252</v>
      </c>
    </row>
    <row r="1534" spans="1:5" x14ac:dyDescent="0.25">
      <c r="A1534" s="60">
        <v>195</v>
      </c>
      <c r="B1534" s="60" t="s">
        <v>120</v>
      </c>
      <c r="C1534" s="60">
        <v>210</v>
      </c>
      <c r="D1534" s="60">
        <v>6756</v>
      </c>
      <c r="E1534" s="60">
        <f t="shared" si="23"/>
        <v>-6756</v>
      </c>
    </row>
    <row r="1535" spans="1:5" x14ac:dyDescent="0.25">
      <c r="A1535" s="60">
        <v>195</v>
      </c>
      <c r="B1535" s="60" t="s">
        <v>120</v>
      </c>
      <c r="C1535" s="60">
        <v>220</v>
      </c>
      <c r="D1535" s="60">
        <v>0</v>
      </c>
      <c r="E1535" s="60">
        <f t="shared" si="23"/>
        <v>0</v>
      </c>
    </row>
    <row r="1536" spans="1:5" x14ac:dyDescent="0.25">
      <c r="A1536" s="60">
        <v>195</v>
      </c>
      <c r="B1536" s="60" t="s">
        <v>120</v>
      </c>
      <c r="C1536" s="60">
        <v>230</v>
      </c>
      <c r="D1536" s="60">
        <v>1942</v>
      </c>
      <c r="E1536" s="60">
        <f t="shared" si="23"/>
        <v>-1942</v>
      </c>
    </row>
    <row r="1537" spans="1:5" x14ac:dyDescent="0.25">
      <c r="A1537" s="60">
        <v>195</v>
      </c>
      <c r="B1537" s="60" t="s">
        <v>120</v>
      </c>
      <c r="C1537" s="60">
        <v>270</v>
      </c>
      <c r="D1537" s="60">
        <v>0</v>
      </c>
      <c r="E1537" s="60">
        <f t="shared" si="23"/>
        <v>0</v>
      </c>
    </row>
    <row r="1538" spans="1:5" x14ac:dyDescent="0.25">
      <c r="A1538" s="60">
        <v>195</v>
      </c>
      <c r="B1538" s="60" t="s">
        <v>121</v>
      </c>
      <c r="C1538" s="60">
        <v>1</v>
      </c>
      <c r="D1538" s="60">
        <v>0</v>
      </c>
      <c r="E1538" s="60">
        <f t="shared" ref="E1538:E1601" si="24">IF(C1538&lt;100,D1538,D1538*-1)</f>
        <v>0</v>
      </c>
    </row>
    <row r="1539" spans="1:5" x14ac:dyDescent="0.25">
      <c r="A1539" s="60">
        <v>195</v>
      </c>
      <c r="B1539" s="60" t="s">
        <v>121</v>
      </c>
      <c r="C1539" s="60">
        <v>10</v>
      </c>
      <c r="D1539" s="60">
        <v>192540</v>
      </c>
      <c r="E1539" s="60">
        <f t="shared" si="24"/>
        <v>192540</v>
      </c>
    </row>
    <row r="1540" spans="1:5" x14ac:dyDescent="0.25">
      <c r="A1540" s="60">
        <v>195</v>
      </c>
      <c r="B1540" s="60" t="s">
        <v>121</v>
      </c>
      <c r="C1540" s="60">
        <v>20</v>
      </c>
      <c r="D1540" s="60">
        <v>0</v>
      </c>
      <c r="E1540" s="60">
        <f t="shared" si="24"/>
        <v>0</v>
      </c>
    </row>
    <row r="1541" spans="1:5" x14ac:dyDescent="0.25">
      <c r="A1541" s="60">
        <v>195</v>
      </c>
      <c r="B1541" s="60" t="s">
        <v>121</v>
      </c>
      <c r="C1541" s="60">
        <v>50</v>
      </c>
      <c r="D1541" s="60">
        <v>0</v>
      </c>
      <c r="E1541" s="60">
        <f t="shared" si="24"/>
        <v>0</v>
      </c>
    </row>
    <row r="1542" spans="1:5" x14ac:dyDescent="0.25">
      <c r="A1542" s="60">
        <v>195</v>
      </c>
      <c r="B1542" s="60" t="s">
        <v>121</v>
      </c>
      <c r="C1542" s="60">
        <v>70</v>
      </c>
      <c r="D1542" s="60">
        <v>0</v>
      </c>
      <c r="E1542" s="60">
        <f t="shared" si="24"/>
        <v>0</v>
      </c>
    </row>
    <row r="1543" spans="1:5" x14ac:dyDescent="0.25">
      <c r="A1543" s="60">
        <v>195</v>
      </c>
      <c r="B1543" s="60" t="s">
        <v>121</v>
      </c>
      <c r="C1543" s="60">
        <v>110</v>
      </c>
      <c r="D1543" s="60">
        <v>150100</v>
      </c>
      <c r="E1543" s="60">
        <f t="shared" si="24"/>
        <v>-150100</v>
      </c>
    </row>
    <row r="1544" spans="1:5" x14ac:dyDescent="0.25">
      <c r="A1544" s="60">
        <v>195</v>
      </c>
      <c r="B1544" s="60" t="s">
        <v>121</v>
      </c>
      <c r="C1544" s="60">
        <v>140</v>
      </c>
      <c r="D1544" s="60">
        <v>24240</v>
      </c>
      <c r="E1544" s="60">
        <f t="shared" si="24"/>
        <v>-24240</v>
      </c>
    </row>
    <row r="1545" spans="1:5" x14ac:dyDescent="0.25">
      <c r="A1545" s="60">
        <v>195</v>
      </c>
      <c r="B1545" s="60" t="s">
        <v>121</v>
      </c>
      <c r="C1545" s="60">
        <v>210</v>
      </c>
      <c r="D1545" s="60">
        <v>10718</v>
      </c>
      <c r="E1545" s="60">
        <f t="shared" si="24"/>
        <v>-10718</v>
      </c>
    </row>
    <row r="1546" spans="1:5" x14ac:dyDescent="0.25">
      <c r="A1546" s="60">
        <v>195</v>
      </c>
      <c r="B1546" s="60" t="s">
        <v>121</v>
      </c>
      <c r="C1546" s="60">
        <v>220</v>
      </c>
      <c r="D1546" s="60">
        <v>0</v>
      </c>
      <c r="E1546" s="60">
        <f t="shared" si="24"/>
        <v>0</v>
      </c>
    </row>
    <row r="1547" spans="1:5" x14ac:dyDescent="0.25">
      <c r="A1547" s="60">
        <v>195</v>
      </c>
      <c r="B1547" s="60" t="s">
        <v>121</v>
      </c>
      <c r="C1547" s="60">
        <v>230</v>
      </c>
      <c r="D1547" s="60">
        <v>0</v>
      </c>
      <c r="E1547" s="60">
        <f t="shared" si="24"/>
        <v>0</v>
      </c>
    </row>
    <row r="1548" spans="1:5" x14ac:dyDescent="0.25">
      <c r="A1548" s="60">
        <v>196</v>
      </c>
      <c r="B1548" s="60" t="s">
        <v>117</v>
      </c>
      <c r="C1548" s="60">
        <v>1</v>
      </c>
      <c r="D1548" s="60">
        <v>0</v>
      </c>
      <c r="E1548" s="60">
        <f t="shared" si="24"/>
        <v>0</v>
      </c>
    </row>
    <row r="1549" spans="1:5" x14ac:dyDescent="0.25">
      <c r="A1549" s="60">
        <v>196</v>
      </c>
      <c r="B1549" s="60" t="s">
        <v>117</v>
      </c>
      <c r="C1549" s="60">
        <v>10</v>
      </c>
      <c r="D1549" s="60">
        <v>12734760</v>
      </c>
      <c r="E1549" s="60">
        <f t="shared" si="24"/>
        <v>12734760</v>
      </c>
    </row>
    <row r="1550" spans="1:5" x14ac:dyDescent="0.25">
      <c r="A1550" s="60">
        <v>196</v>
      </c>
      <c r="B1550" s="60" t="s">
        <v>117</v>
      </c>
      <c r="C1550" s="60">
        <v>20</v>
      </c>
      <c r="D1550" s="60">
        <v>0</v>
      </c>
      <c r="E1550" s="60">
        <f t="shared" si="24"/>
        <v>0</v>
      </c>
    </row>
    <row r="1551" spans="1:5" x14ac:dyDescent="0.25">
      <c r="A1551" s="60">
        <v>196</v>
      </c>
      <c r="B1551" s="60" t="s">
        <v>117</v>
      </c>
      <c r="C1551" s="60">
        <v>50</v>
      </c>
      <c r="D1551" s="60">
        <v>2083040</v>
      </c>
      <c r="E1551" s="60">
        <f t="shared" si="24"/>
        <v>2083040</v>
      </c>
    </row>
    <row r="1552" spans="1:5" x14ac:dyDescent="0.25">
      <c r="A1552" s="60">
        <v>196</v>
      </c>
      <c r="B1552" s="60" t="s">
        <v>117</v>
      </c>
      <c r="C1552" s="60">
        <v>70</v>
      </c>
      <c r="D1552" s="60">
        <v>-269854</v>
      </c>
      <c r="E1552" s="60">
        <f t="shared" si="24"/>
        <v>-269854</v>
      </c>
    </row>
    <row r="1553" spans="1:5" x14ac:dyDescent="0.25">
      <c r="A1553" s="60">
        <v>196</v>
      </c>
      <c r="B1553" s="60" t="s">
        <v>117</v>
      </c>
      <c r="C1553" s="60">
        <v>110</v>
      </c>
      <c r="D1553" s="60">
        <v>4521220</v>
      </c>
      <c r="E1553" s="60">
        <f t="shared" si="24"/>
        <v>-4521220</v>
      </c>
    </row>
    <row r="1554" spans="1:5" x14ac:dyDescent="0.25">
      <c r="A1554" s="60">
        <v>196</v>
      </c>
      <c r="B1554" s="60" t="s">
        <v>117</v>
      </c>
      <c r="C1554" s="60">
        <v>120</v>
      </c>
      <c r="D1554" s="60">
        <v>0</v>
      </c>
      <c r="E1554" s="60">
        <f t="shared" si="24"/>
        <v>0</v>
      </c>
    </row>
    <row r="1555" spans="1:5" x14ac:dyDescent="0.25">
      <c r="A1555" s="60">
        <v>196</v>
      </c>
      <c r="B1555" s="60" t="s">
        <v>117</v>
      </c>
      <c r="C1555" s="60">
        <v>130</v>
      </c>
      <c r="D1555" s="60">
        <v>0</v>
      </c>
      <c r="E1555" s="60">
        <f t="shared" si="24"/>
        <v>0</v>
      </c>
    </row>
    <row r="1556" spans="1:5" x14ac:dyDescent="0.25">
      <c r="A1556" s="60">
        <v>196</v>
      </c>
      <c r="B1556" s="60" t="s">
        <v>117</v>
      </c>
      <c r="C1556" s="60">
        <v>140</v>
      </c>
      <c r="D1556" s="60">
        <v>6544620</v>
      </c>
      <c r="E1556" s="60">
        <f t="shared" si="24"/>
        <v>-6544620</v>
      </c>
    </row>
    <row r="1557" spans="1:5" x14ac:dyDescent="0.25">
      <c r="A1557" s="60">
        <v>196</v>
      </c>
      <c r="B1557" s="60" t="s">
        <v>117</v>
      </c>
      <c r="C1557" s="60">
        <v>141</v>
      </c>
      <c r="D1557" s="60">
        <v>152320</v>
      </c>
      <c r="E1557" s="60">
        <f t="shared" si="24"/>
        <v>-152320</v>
      </c>
    </row>
    <row r="1558" spans="1:5" x14ac:dyDescent="0.25">
      <c r="A1558" s="60">
        <v>196</v>
      </c>
      <c r="B1558" s="60" t="s">
        <v>117</v>
      </c>
      <c r="C1558" s="60">
        <v>200</v>
      </c>
      <c r="D1558" s="60">
        <v>63276</v>
      </c>
      <c r="E1558" s="60">
        <f t="shared" si="24"/>
        <v>-63276</v>
      </c>
    </row>
    <row r="1559" spans="1:5" x14ac:dyDescent="0.25">
      <c r="A1559" s="60">
        <v>196</v>
      </c>
      <c r="B1559" s="60" t="s">
        <v>117</v>
      </c>
      <c r="C1559" s="60">
        <v>210</v>
      </c>
      <c r="D1559" s="60">
        <v>75539</v>
      </c>
      <c r="E1559" s="60">
        <f t="shared" si="24"/>
        <v>-75539</v>
      </c>
    </row>
    <row r="1560" spans="1:5" x14ac:dyDescent="0.25">
      <c r="A1560" s="60">
        <v>196</v>
      </c>
      <c r="B1560" s="60" t="s">
        <v>117</v>
      </c>
      <c r="C1560" s="60">
        <v>220</v>
      </c>
      <c r="D1560" s="60">
        <v>0</v>
      </c>
      <c r="E1560" s="60">
        <f t="shared" si="24"/>
        <v>0</v>
      </c>
    </row>
    <row r="1561" spans="1:5" x14ac:dyDescent="0.25">
      <c r="A1561" s="60">
        <v>196</v>
      </c>
      <c r="B1561" s="60" t="s">
        <v>117</v>
      </c>
      <c r="C1561" s="60">
        <v>230</v>
      </c>
      <c r="D1561" s="60">
        <v>0</v>
      </c>
      <c r="E1561" s="60">
        <f t="shared" si="24"/>
        <v>0</v>
      </c>
    </row>
    <row r="1562" spans="1:5" x14ac:dyDescent="0.25">
      <c r="A1562" s="60">
        <v>196</v>
      </c>
      <c r="B1562" s="60" t="s">
        <v>117</v>
      </c>
      <c r="C1562" s="60">
        <v>270</v>
      </c>
      <c r="D1562" s="60">
        <v>0</v>
      </c>
      <c r="E1562" s="60">
        <f t="shared" si="24"/>
        <v>0</v>
      </c>
    </row>
    <row r="1563" spans="1:5" x14ac:dyDescent="0.25">
      <c r="A1563" s="60">
        <v>196</v>
      </c>
      <c r="B1563" s="60" t="s">
        <v>118</v>
      </c>
      <c r="C1563" s="60">
        <v>1</v>
      </c>
      <c r="D1563" s="60">
        <v>1966954</v>
      </c>
      <c r="E1563" s="60">
        <f t="shared" si="24"/>
        <v>1966954</v>
      </c>
    </row>
    <row r="1564" spans="1:5" x14ac:dyDescent="0.25">
      <c r="A1564" s="60">
        <v>196</v>
      </c>
      <c r="B1564" s="60" t="s">
        <v>118</v>
      </c>
      <c r="C1564" s="60">
        <v>10</v>
      </c>
      <c r="D1564" s="60">
        <v>1303660</v>
      </c>
      <c r="E1564" s="60">
        <f t="shared" si="24"/>
        <v>1303660</v>
      </c>
    </row>
    <row r="1565" spans="1:5" x14ac:dyDescent="0.25">
      <c r="A1565" s="60">
        <v>196</v>
      </c>
      <c r="B1565" s="60" t="s">
        <v>118</v>
      </c>
      <c r="C1565" s="60">
        <v>20</v>
      </c>
      <c r="D1565" s="60">
        <v>0</v>
      </c>
      <c r="E1565" s="60">
        <f t="shared" si="24"/>
        <v>0</v>
      </c>
    </row>
    <row r="1566" spans="1:5" x14ac:dyDescent="0.25">
      <c r="A1566" s="60">
        <v>196</v>
      </c>
      <c r="B1566" s="60" t="s">
        <v>118</v>
      </c>
      <c r="C1566" s="60">
        <v>50</v>
      </c>
      <c r="D1566" s="60">
        <v>0</v>
      </c>
      <c r="E1566" s="60">
        <f t="shared" si="24"/>
        <v>0</v>
      </c>
    </row>
    <row r="1567" spans="1:5" x14ac:dyDescent="0.25">
      <c r="A1567" s="60">
        <v>196</v>
      </c>
      <c r="B1567" s="60" t="s">
        <v>118</v>
      </c>
      <c r="C1567" s="60">
        <v>51</v>
      </c>
      <c r="D1567" s="60">
        <v>0</v>
      </c>
      <c r="E1567" s="60">
        <f t="shared" si="24"/>
        <v>0</v>
      </c>
    </row>
    <row r="1568" spans="1:5" x14ac:dyDescent="0.25">
      <c r="A1568" s="60">
        <v>196</v>
      </c>
      <c r="B1568" s="60" t="s">
        <v>118</v>
      </c>
      <c r="C1568" s="60">
        <v>110</v>
      </c>
      <c r="D1568" s="60">
        <v>0</v>
      </c>
      <c r="E1568" s="60">
        <f t="shared" si="24"/>
        <v>0</v>
      </c>
    </row>
    <row r="1569" spans="1:5" x14ac:dyDescent="0.25">
      <c r="A1569" s="60">
        <v>196</v>
      </c>
      <c r="B1569" s="60" t="s">
        <v>118</v>
      </c>
      <c r="C1569" s="60">
        <v>120</v>
      </c>
      <c r="D1569" s="60">
        <v>0</v>
      </c>
      <c r="E1569" s="60">
        <f t="shared" si="24"/>
        <v>0</v>
      </c>
    </row>
    <row r="1570" spans="1:5" x14ac:dyDescent="0.25">
      <c r="A1570" s="60">
        <v>196</v>
      </c>
      <c r="B1570" s="60" t="s">
        <v>118</v>
      </c>
      <c r="C1570" s="60">
        <v>130</v>
      </c>
      <c r="D1570" s="60">
        <v>0</v>
      </c>
      <c r="E1570" s="60">
        <f t="shared" si="24"/>
        <v>0</v>
      </c>
    </row>
    <row r="1571" spans="1:5" x14ac:dyDescent="0.25">
      <c r="A1571" s="60">
        <v>196</v>
      </c>
      <c r="B1571" s="60" t="s">
        <v>118</v>
      </c>
      <c r="C1571" s="60">
        <v>140</v>
      </c>
      <c r="D1571" s="60">
        <v>196500</v>
      </c>
      <c r="E1571" s="60">
        <f t="shared" si="24"/>
        <v>-196500</v>
      </c>
    </row>
    <row r="1572" spans="1:5" x14ac:dyDescent="0.25">
      <c r="A1572" s="60">
        <v>196</v>
      </c>
      <c r="B1572" s="60" t="s">
        <v>118</v>
      </c>
      <c r="C1572" s="60">
        <v>141</v>
      </c>
      <c r="D1572" s="60">
        <v>2977520</v>
      </c>
      <c r="E1572" s="60">
        <f t="shared" si="24"/>
        <v>-2977520</v>
      </c>
    </row>
    <row r="1573" spans="1:5" x14ac:dyDescent="0.25">
      <c r="A1573" s="60">
        <v>196</v>
      </c>
      <c r="B1573" s="60" t="s">
        <v>118</v>
      </c>
      <c r="C1573" s="60">
        <v>150</v>
      </c>
      <c r="D1573" s="60">
        <v>0</v>
      </c>
      <c r="E1573" s="60">
        <f t="shared" si="24"/>
        <v>0</v>
      </c>
    </row>
    <row r="1574" spans="1:5" x14ac:dyDescent="0.25">
      <c r="A1574" s="60">
        <v>196</v>
      </c>
      <c r="B1574" s="60" t="s">
        <v>118</v>
      </c>
      <c r="C1574" s="60">
        <v>160</v>
      </c>
      <c r="D1574" s="60">
        <v>0</v>
      </c>
      <c r="E1574" s="60">
        <f t="shared" si="24"/>
        <v>0</v>
      </c>
    </row>
    <row r="1575" spans="1:5" x14ac:dyDescent="0.25">
      <c r="A1575" s="60">
        <v>196</v>
      </c>
      <c r="B1575" s="60" t="s">
        <v>118</v>
      </c>
      <c r="C1575" s="60">
        <v>200</v>
      </c>
      <c r="D1575" s="60">
        <v>6430</v>
      </c>
      <c r="E1575" s="60">
        <f t="shared" si="24"/>
        <v>-6430</v>
      </c>
    </row>
    <row r="1576" spans="1:5" x14ac:dyDescent="0.25">
      <c r="A1576" s="60">
        <v>196</v>
      </c>
      <c r="B1576" s="60" t="s">
        <v>118</v>
      </c>
      <c r="C1576" s="60">
        <v>210</v>
      </c>
      <c r="D1576" s="60">
        <v>0</v>
      </c>
      <c r="E1576" s="60">
        <f t="shared" si="24"/>
        <v>0</v>
      </c>
    </row>
    <row r="1577" spans="1:5" x14ac:dyDescent="0.25">
      <c r="A1577" s="60">
        <v>196</v>
      </c>
      <c r="B1577" s="60" t="s">
        <v>118</v>
      </c>
      <c r="C1577" s="60">
        <v>230</v>
      </c>
      <c r="D1577" s="60">
        <v>13422</v>
      </c>
      <c r="E1577" s="60">
        <f t="shared" si="24"/>
        <v>-13422</v>
      </c>
    </row>
    <row r="1578" spans="1:5" x14ac:dyDescent="0.25">
      <c r="A1578" s="60">
        <v>196</v>
      </c>
      <c r="B1578" s="60" t="s">
        <v>118</v>
      </c>
      <c r="C1578" s="60">
        <v>260</v>
      </c>
      <c r="D1578" s="60">
        <v>0</v>
      </c>
      <c r="E1578" s="60">
        <f t="shared" si="24"/>
        <v>0</v>
      </c>
    </row>
    <row r="1579" spans="1:5" x14ac:dyDescent="0.25">
      <c r="A1579" s="60">
        <v>196</v>
      </c>
      <c r="B1579" s="60" t="s">
        <v>118</v>
      </c>
      <c r="C1579" s="60">
        <v>270</v>
      </c>
      <c r="D1579" s="60">
        <v>0</v>
      </c>
      <c r="E1579" s="60">
        <f t="shared" si="24"/>
        <v>0</v>
      </c>
    </row>
    <row r="1580" spans="1:5" x14ac:dyDescent="0.25">
      <c r="A1580" s="60">
        <v>196</v>
      </c>
      <c r="B1580" s="60" t="s">
        <v>119</v>
      </c>
      <c r="C1580" s="60">
        <v>1</v>
      </c>
      <c r="D1580" s="60">
        <v>1904249</v>
      </c>
      <c r="E1580" s="60">
        <f t="shared" si="24"/>
        <v>1904249</v>
      </c>
    </row>
    <row r="1581" spans="1:5" x14ac:dyDescent="0.25">
      <c r="A1581" s="60">
        <v>196</v>
      </c>
      <c r="B1581" s="60" t="s">
        <v>119</v>
      </c>
      <c r="C1581" s="60">
        <v>10</v>
      </c>
      <c r="D1581" s="60">
        <v>1831620</v>
      </c>
      <c r="E1581" s="60">
        <f t="shared" si="24"/>
        <v>1831620</v>
      </c>
    </row>
    <row r="1582" spans="1:5" x14ac:dyDescent="0.25">
      <c r="A1582" s="60">
        <v>196</v>
      </c>
      <c r="B1582" s="60" t="s">
        <v>119</v>
      </c>
      <c r="C1582" s="60">
        <v>20</v>
      </c>
      <c r="D1582" s="60">
        <v>24859</v>
      </c>
      <c r="E1582" s="60">
        <f t="shared" si="24"/>
        <v>24859</v>
      </c>
    </row>
    <row r="1583" spans="1:5" x14ac:dyDescent="0.25">
      <c r="A1583" s="60">
        <v>196</v>
      </c>
      <c r="B1583" s="60" t="s">
        <v>119</v>
      </c>
      <c r="C1583" s="60">
        <v>50</v>
      </c>
      <c r="D1583" s="60">
        <v>0</v>
      </c>
      <c r="E1583" s="60">
        <f t="shared" si="24"/>
        <v>0</v>
      </c>
    </row>
    <row r="1584" spans="1:5" x14ac:dyDescent="0.25">
      <c r="A1584" s="60">
        <v>196</v>
      </c>
      <c r="B1584" s="60" t="s">
        <v>119</v>
      </c>
      <c r="C1584" s="60">
        <v>110</v>
      </c>
      <c r="D1584" s="60">
        <v>1647500</v>
      </c>
      <c r="E1584" s="60">
        <f t="shared" si="24"/>
        <v>-1647500</v>
      </c>
    </row>
    <row r="1585" spans="1:5" x14ac:dyDescent="0.25">
      <c r="A1585" s="60">
        <v>196</v>
      </c>
      <c r="B1585" s="60" t="s">
        <v>119</v>
      </c>
      <c r="C1585" s="60">
        <v>120</v>
      </c>
      <c r="D1585" s="60">
        <v>0</v>
      </c>
      <c r="E1585" s="60">
        <f t="shared" si="24"/>
        <v>0</v>
      </c>
    </row>
    <row r="1586" spans="1:5" x14ac:dyDescent="0.25">
      <c r="A1586" s="60">
        <v>196</v>
      </c>
      <c r="B1586" s="60" t="s">
        <v>119</v>
      </c>
      <c r="C1586" s="60">
        <v>140</v>
      </c>
      <c r="D1586" s="60">
        <v>16520</v>
      </c>
      <c r="E1586" s="60">
        <f t="shared" si="24"/>
        <v>-16520</v>
      </c>
    </row>
    <row r="1587" spans="1:5" x14ac:dyDescent="0.25">
      <c r="A1587" s="60">
        <v>196</v>
      </c>
      <c r="B1587" s="60" t="s">
        <v>119</v>
      </c>
      <c r="C1587" s="60">
        <v>141</v>
      </c>
      <c r="D1587" s="60">
        <v>267760</v>
      </c>
      <c r="E1587" s="60">
        <f t="shared" si="24"/>
        <v>-267760</v>
      </c>
    </row>
    <row r="1588" spans="1:5" x14ac:dyDescent="0.25">
      <c r="A1588" s="60">
        <v>196</v>
      </c>
      <c r="B1588" s="60" t="s">
        <v>119</v>
      </c>
      <c r="C1588" s="60">
        <v>200</v>
      </c>
      <c r="D1588" s="60">
        <v>9144</v>
      </c>
      <c r="E1588" s="60">
        <f t="shared" si="24"/>
        <v>-9144</v>
      </c>
    </row>
    <row r="1589" spans="1:5" x14ac:dyDescent="0.25">
      <c r="A1589" s="60">
        <v>196</v>
      </c>
      <c r="B1589" s="60" t="s">
        <v>119</v>
      </c>
      <c r="C1589" s="60">
        <v>210</v>
      </c>
      <c r="D1589" s="60">
        <v>1684</v>
      </c>
      <c r="E1589" s="60">
        <f t="shared" si="24"/>
        <v>-1684</v>
      </c>
    </row>
    <row r="1590" spans="1:5" x14ac:dyDescent="0.25">
      <c r="A1590" s="60">
        <v>196</v>
      </c>
      <c r="B1590" s="60" t="s">
        <v>119</v>
      </c>
      <c r="C1590" s="60">
        <v>220</v>
      </c>
      <c r="D1590" s="60">
        <v>0</v>
      </c>
      <c r="E1590" s="60">
        <f t="shared" si="24"/>
        <v>0</v>
      </c>
    </row>
    <row r="1591" spans="1:5" x14ac:dyDescent="0.25">
      <c r="A1591" s="60">
        <v>196</v>
      </c>
      <c r="B1591" s="60" t="s">
        <v>119</v>
      </c>
      <c r="C1591" s="60">
        <v>230</v>
      </c>
      <c r="D1591" s="60">
        <v>723</v>
      </c>
      <c r="E1591" s="60">
        <f t="shared" si="24"/>
        <v>-723</v>
      </c>
    </row>
    <row r="1592" spans="1:5" x14ac:dyDescent="0.25">
      <c r="A1592" s="60">
        <v>196</v>
      </c>
      <c r="B1592" s="60" t="s">
        <v>119</v>
      </c>
      <c r="C1592" s="60">
        <v>270</v>
      </c>
      <c r="D1592" s="60">
        <v>0</v>
      </c>
      <c r="E1592" s="60">
        <f t="shared" si="24"/>
        <v>0</v>
      </c>
    </row>
    <row r="1593" spans="1:5" x14ac:dyDescent="0.25">
      <c r="A1593" s="60">
        <v>196</v>
      </c>
      <c r="B1593" s="60" t="s">
        <v>120</v>
      </c>
      <c r="C1593" s="60">
        <v>1</v>
      </c>
      <c r="D1593" s="60">
        <v>0</v>
      </c>
      <c r="E1593" s="60">
        <f t="shared" si="24"/>
        <v>0</v>
      </c>
    </row>
    <row r="1594" spans="1:5" x14ac:dyDescent="0.25">
      <c r="A1594" s="60">
        <v>196</v>
      </c>
      <c r="B1594" s="60" t="s">
        <v>120</v>
      </c>
      <c r="C1594" s="60">
        <v>10</v>
      </c>
      <c r="D1594" s="60">
        <v>0</v>
      </c>
      <c r="E1594" s="60">
        <f t="shared" si="24"/>
        <v>0</v>
      </c>
    </row>
    <row r="1595" spans="1:5" x14ac:dyDescent="0.25">
      <c r="A1595" s="60">
        <v>196</v>
      </c>
      <c r="B1595" s="60" t="s">
        <v>120</v>
      </c>
      <c r="C1595" s="60">
        <v>20</v>
      </c>
      <c r="D1595" s="60">
        <v>0</v>
      </c>
      <c r="E1595" s="60">
        <f t="shared" si="24"/>
        <v>0</v>
      </c>
    </row>
    <row r="1596" spans="1:5" x14ac:dyDescent="0.25">
      <c r="A1596" s="60">
        <v>196</v>
      </c>
      <c r="B1596" s="60" t="s">
        <v>120</v>
      </c>
      <c r="C1596" s="60">
        <v>50</v>
      </c>
      <c r="D1596" s="60">
        <v>0</v>
      </c>
      <c r="E1596" s="60">
        <f t="shared" si="24"/>
        <v>0</v>
      </c>
    </row>
    <row r="1597" spans="1:5" x14ac:dyDescent="0.25">
      <c r="A1597" s="60">
        <v>196</v>
      </c>
      <c r="B1597" s="60" t="s">
        <v>120</v>
      </c>
      <c r="C1597" s="60">
        <v>110</v>
      </c>
      <c r="D1597" s="60">
        <v>0</v>
      </c>
      <c r="E1597" s="60">
        <f t="shared" si="24"/>
        <v>0</v>
      </c>
    </row>
    <row r="1598" spans="1:5" x14ac:dyDescent="0.25">
      <c r="A1598" s="60">
        <v>196</v>
      </c>
      <c r="B1598" s="60" t="s">
        <v>120</v>
      </c>
      <c r="C1598" s="60">
        <v>120</v>
      </c>
      <c r="D1598" s="60">
        <v>0</v>
      </c>
      <c r="E1598" s="60">
        <f t="shared" si="24"/>
        <v>0</v>
      </c>
    </row>
    <row r="1599" spans="1:5" x14ac:dyDescent="0.25">
      <c r="A1599" s="60">
        <v>196</v>
      </c>
      <c r="B1599" s="60" t="s">
        <v>120</v>
      </c>
      <c r="C1599" s="60">
        <v>130</v>
      </c>
      <c r="D1599" s="60">
        <v>0</v>
      </c>
      <c r="E1599" s="60">
        <f t="shared" si="24"/>
        <v>0</v>
      </c>
    </row>
    <row r="1600" spans="1:5" x14ac:dyDescent="0.25">
      <c r="A1600" s="60">
        <v>196</v>
      </c>
      <c r="B1600" s="60" t="s">
        <v>120</v>
      </c>
      <c r="C1600" s="60">
        <v>140</v>
      </c>
      <c r="D1600" s="60">
        <v>0</v>
      </c>
      <c r="E1600" s="60">
        <f t="shared" si="24"/>
        <v>0</v>
      </c>
    </row>
    <row r="1601" spans="1:5" x14ac:dyDescent="0.25">
      <c r="A1601" s="60">
        <v>196</v>
      </c>
      <c r="B1601" s="60" t="s">
        <v>120</v>
      </c>
      <c r="C1601" s="60">
        <v>150</v>
      </c>
      <c r="D1601" s="60">
        <v>0</v>
      </c>
      <c r="E1601" s="60">
        <f t="shared" si="24"/>
        <v>0</v>
      </c>
    </row>
    <row r="1602" spans="1:5" x14ac:dyDescent="0.25">
      <c r="A1602" s="60">
        <v>196</v>
      </c>
      <c r="B1602" s="60" t="s">
        <v>120</v>
      </c>
      <c r="C1602" s="60">
        <v>200</v>
      </c>
      <c r="D1602" s="60">
        <v>0</v>
      </c>
      <c r="E1602" s="60">
        <f t="shared" ref="E1602:E1665" si="25">IF(C1602&lt;100,D1602,D1602*-1)</f>
        <v>0</v>
      </c>
    </row>
    <row r="1603" spans="1:5" x14ac:dyDescent="0.25">
      <c r="A1603" s="60">
        <v>196</v>
      </c>
      <c r="B1603" s="60" t="s">
        <v>120</v>
      </c>
      <c r="C1603" s="60">
        <v>220</v>
      </c>
      <c r="D1603" s="60">
        <v>0</v>
      </c>
      <c r="E1603" s="60">
        <f t="shared" si="25"/>
        <v>0</v>
      </c>
    </row>
    <row r="1604" spans="1:5" x14ac:dyDescent="0.25">
      <c r="A1604" s="60">
        <v>196</v>
      </c>
      <c r="B1604" s="60" t="s">
        <v>120</v>
      </c>
      <c r="C1604" s="60">
        <v>230</v>
      </c>
      <c r="D1604" s="60">
        <v>0</v>
      </c>
      <c r="E1604" s="60">
        <f t="shared" si="25"/>
        <v>0</v>
      </c>
    </row>
    <row r="1605" spans="1:5" x14ac:dyDescent="0.25">
      <c r="A1605" s="60">
        <v>196</v>
      </c>
      <c r="B1605" s="60" t="s">
        <v>121</v>
      </c>
      <c r="C1605" s="60">
        <v>1</v>
      </c>
      <c r="D1605" s="60">
        <v>-2117</v>
      </c>
      <c r="E1605" s="60">
        <f t="shared" si="25"/>
        <v>-2117</v>
      </c>
    </row>
    <row r="1606" spans="1:5" x14ac:dyDescent="0.25">
      <c r="A1606" s="60">
        <v>196</v>
      </c>
      <c r="B1606" s="60" t="s">
        <v>121</v>
      </c>
      <c r="C1606" s="60">
        <v>10</v>
      </c>
      <c r="D1606" s="60">
        <v>0</v>
      </c>
      <c r="E1606" s="60">
        <f t="shared" si="25"/>
        <v>0</v>
      </c>
    </row>
    <row r="1607" spans="1:5" x14ac:dyDescent="0.25">
      <c r="A1607" s="60">
        <v>196</v>
      </c>
      <c r="B1607" s="60" t="s">
        <v>121</v>
      </c>
      <c r="C1607" s="60">
        <v>20</v>
      </c>
      <c r="D1607" s="60">
        <v>13237</v>
      </c>
      <c r="E1607" s="60">
        <f t="shared" si="25"/>
        <v>13237</v>
      </c>
    </row>
    <row r="1608" spans="1:5" x14ac:dyDescent="0.25">
      <c r="A1608" s="60">
        <v>196</v>
      </c>
      <c r="B1608" s="60" t="s">
        <v>121</v>
      </c>
      <c r="C1608" s="60">
        <v>50</v>
      </c>
      <c r="D1608" s="60">
        <v>0</v>
      </c>
      <c r="E1608" s="60">
        <f t="shared" si="25"/>
        <v>0</v>
      </c>
    </row>
    <row r="1609" spans="1:5" x14ac:dyDescent="0.25">
      <c r="A1609" s="60">
        <v>196</v>
      </c>
      <c r="B1609" s="60" t="s">
        <v>121</v>
      </c>
      <c r="C1609" s="60">
        <v>70</v>
      </c>
      <c r="D1609" s="60">
        <v>0</v>
      </c>
      <c r="E1609" s="60">
        <f t="shared" si="25"/>
        <v>0</v>
      </c>
    </row>
    <row r="1610" spans="1:5" x14ac:dyDescent="0.25">
      <c r="A1610" s="60">
        <v>196</v>
      </c>
      <c r="B1610" s="60" t="s">
        <v>121</v>
      </c>
      <c r="C1610" s="60">
        <v>100</v>
      </c>
      <c r="D1610" s="60">
        <v>0</v>
      </c>
      <c r="E1610" s="60">
        <f t="shared" si="25"/>
        <v>0</v>
      </c>
    </row>
    <row r="1611" spans="1:5" x14ac:dyDescent="0.25">
      <c r="A1611" s="60">
        <v>196</v>
      </c>
      <c r="B1611" s="60" t="s">
        <v>121</v>
      </c>
      <c r="C1611" s="60">
        <v>110</v>
      </c>
      <c r="D1611" s="60">
        <v>0</v>
      </c>
      <c r="E1611" s="60">
        <f t="shared" si="25"/>
        <v>0</v>
      </c>
    </row>
    <row r="1612" spans="1:5" x14ac:dyDescent="0.25">
      <c r="A1612" s="60">
        <v>196</v>
      </c>
      <c r="B1612" s="60" t="s">
        <v>121</v>
      </c>
      <c r="C1612" s="60">
        <v>140</v>
      </c>
      <c r="D1612" s="60">
        <v>11120</v>
      </c>
      <c r="E1612" s="60">
        <f t="shared" si="25"/>
        <v>-11120</v>
      </c>
    </row>
    <row r="1613" spans="1:5" x14ac:dyDescent="0.25">
      <c r="A1613" s="60">
        <v>196</v>
      </c>
      <c r="B1613" s="60" t="s">
        <v>121</v>
      </c>
      <c r="C1613" s="60">
        <v>210</v>
      </c>
      <c r="D1613" s="60">
        <v>0</v>
      </c>
      <c r="E1613" s="60">
        <f t="shared" si="25"/>
        <v>0</v>
      </c>
    </row>
    <row r="1614" spans="1:5" x14ac:dyDescent="0.25">
      <c r="A1614" s="60">
        <v>197</v>
      </c>
      <c r="B1614" s="60" t="s">
        <v>117</v>
      </c>
      <c r="C1614" s="60">
        <v>1</v>
      </c>
      <c r="D1614" s="60">
        <v>0</v>
      </c>
      <c r="E1614" s="60">
        <f t="shared" si="25"/>
        <v>0</v>
      </c>
    </row>
    <row r="1615" spans="1:5" x14ac:dyDescent="0.25">
      <c r="A1615" s="60">
        <v>197</v>
      </c>
      <c r="B1615" s="60" t="s">
        <v>117</v>
      </c>
      <c r="C1615" s="60">
        <v>10</v>
      </c>
      <c r="D1615" s="60">
        <v>0</v>
      </c>
      <c r="E1615" s="60">
        <f t="shared" si="25"/>
        <v>0</v>
      </c>
    </row>
    <row r="1616" spans="1:5" x14ac:dyDescent="0.25">
      <c r="A1616" s="60">
        <v>197</v>
      </c>
      <c r="B1616" s="60" t="s">
        <v>117</v>
      </c>
      <c r="C1616" s="60">
        <v>20</v>
      </c>
      <c r="D1616" s="60">
        <v>0</v>
      </c>
      <c r="E1616" s="60">
        <f t="shared" si="25"/>
        <v>0</v>
      </c>
    </row>
    <row r="1617" spans="1:5" x14ac:dyDescent="0.25">
      <c r="A1617" s="60">
        <v>197</v>
      </c>
      <c r="B1617" s="60" t="s">
        <v>117</v>
      </c>
      <c r="C1617" s="60">
        <v>50</v>
      </c>
      <c r="D1617" s="60">
        <v>0</v>
      </c>
      <c r="E1617" s="60">
        <f t="shared" si="25"/>
        <v>0</v>
      </c>
    </row>
    <row r="1618" spans="1:5" x14ac:dyDescent="0.25">
      <c r="A1618" s="60">
        <v>197</v>
      </c>
      <c r="B1618" s="60" t="s">
        <v>117</v>
      </c>
      <c r="C1618" s="60">
        <v>110</v>
      </c>
      <c r="D1618" s="60">
        <v>0</v>
      </c>
      <c r="E1618" s="60">
        <f t="shared" si="25"/>
        <v>0</v>
      </c>
    </row>
    <row r="1619" spans="1:5" x14ac:dyDescent="0.25">
      <c r="A1619" s="60">
        <v>197</v>
      </c>
      <c r="B1619" s="60" t="s">
        <v>117</v>
      </c>
      <c r="C1619" s="60">
        <v>140</v>
      </c>
      <c r="D1619" s="60">
        <v>0</v>
      </c>
      <c r="E1619" s="60">
        <f t="shared" si="25"/>
        <v>0</v>
      </c>
    </row>
    <row r="1620" spans="1:5" x14ac:dyDescent="0.25">
      <c r="A1620" s="60">
        <v>197</v>
      </c>
      <c r="B1620" s="60" t="s">
        <v>117</v>
      </c>
      <c r="C1620" s="60">
        <v>200</v>
      </c>
      <c r="D1620" s="60">
        <v>0</v>
      </c>
      <c r="E1620" s="60">
        <f t="shared" si="25"/>
        <v>0</v>
      </c>
    </row>
    <row r="1621" spans="1:5" x14ac:dyDescent="0.25">
      <c r="A1621" s="60">
        <v>197</v>
      </c>
      <c r="B1621" s="60" t="s">
        <v>117</v>
      </c>
      <c r="C1621" s="60">
        <v>210</v>
      </c>
      <c r="D1621" s="60">
        <v>0</v>
      </c>
      <c r="E1621" s="60">
        <f t="shared" si="25"/>
        <v>0</v>
      </c>
    </row>
    <row r="1622" spans="1:5" x14ac:dyDescent="0.25">
      <c r="A1622" s="60">
        <v>197</v>
      </c>
      <c r="B1622" s="60" t="s">
        <v>117</v>
      </c>
      <c r="C1622" s="60">
        <v>220</v>
      </c>
      <c r="D1622" s="60">
        <v>0</v>
      </c>
      <c r="E1622" s="60">
        <f t="shared" si="25"/>
        <v>0</v>
      </c>
    </row>
    <row r="1623" spans="1:5" x14ac:dyDescent="0.25">
      <c r="A1623" s="60">
        <v>197</v>
      </c>
      <c r="B1623" s="60" t="s">
        <v>117</v>
      </c>
      <c r="C1623" s="60">
        <v>230</v>
      </c>
      <c r="D1623" s="60">
        <v>0</v>
      </c>
      <c r="E1623" s="60">
        <f t="shared" si="25"/>
        <v>0</v>
      </c>
    </row>
    <row r="1624" spans="1:5" x14ac:dyDescent="0.25">
      <c r="A1624" s="60">
        <v>197</v>
      </c>
      <c r="B1624" s="60" t="s">
        <v>117</v>
      </c>
      <c r="C1624" s="60">
        <v>270</v>
      </c>
      <c r="D1624" s="60">
        <v>0</v>
      </c>
      <c r="E1624" s="60">
        <f t="shared" si="25"/>
        <v>0</v>
      </c>
    </row>
    <row r="1625" spans="1:5" x14ac:dyDescent="0.25">
      <c r="A1625" s="60">
        <v>197</v>
      </c>
      <c r="B1625" s="60" t="s">
        <v>118</v>
      </c>
      <c r="C1625" s="60">
        <v>1</v>
      </c>
      <c r="D1625" s="60">
        <v>0</v>
      </c>
      <c r="E1625" s="60">
        <f t="shared" si="25"/>
        <v>0</v>
      </c>
    </row>
    <row r="1626" spans="1:5" x14ac:dyDescent="0.25">
      <c r="A1626" s="60">
        <v>197</v>
      </c>
      <c r="B1626" s="60" t="s">
        <v>118</v>
      </c>
      <c r="C1626" s="60">
        <v>10</v>
      </c>
      <c r="D1626" s="60">
        <v>0</v>
      </c>
      <c r="E1626" s="60">
        <f t="shared" si="25"/>
        <v>0</v>
      </c>
    </row>
    <row r="1627" spans="1:5" x14ac:dyDescent="0.25">
      <c r="A1627" s="60">
        <v>197</v>
      </c>
      <c r="B1627" s="60" t="s">
        <v>118</v>
      </c>
      <c r="C1627" s="60">
        <v>20</v>
      </c>
      <c r="D1627" s="60">
        <v>0</v>
      </c>
      <c r="E1627" s="60">
        <f t="shared" si="25"/>
        <v>0</v>
      </c>
    </row>
    <row r="1628" spans="1:5" x14ac:dyDescent="0.25">
      <c r="A1628" s="60">
        <v>197</v>
      </c>
      <c r="B1628" s="60" t="s">
        <v>118</v>
      </c>
      <c r="C1628" s="60">
        <v>50</v>
      </c>
      <c r="D1628" s="60">
        <v>0</v>
      </c>
      <c r="E1628" s="60">
        <f t="shared" si="25"/>
        <v>0</v>
      </c>
    </row>
    <row r="1629" spans="1:5" x14ac:dyDescent="0.25">
      <c r="A1629" s="60">
        <v>197</v>
      </c>
      <c r="B1629" s="60" t="s">
        <v>118</v>
      </c>
      <c r="C1629" s="60">
        <v>110</v>
      </c>
      <c r="D1629" s="60">
        <v>0</v>
      </c>
      <c r="E1629" s="60">
        <f t="shared" si="25"/>
        <v>0</v>
      </c>
    </row>
    <row r="1630" spans="1:5" x14ac:dyDescent="0.25">
      <c r="A1630" s="60">
        <v>197</v>
      </c>
      <c r="B1630" s="60" t="s">
        <v>118</v>
      </c>
      <c r="C1630" s="60">
        <v>140</v>
      </c>
      <c r="D1630" s="60">
        <v>0</v>
      </c>
      <c r="E1630" s="60">
        <f t="shared" si="25"/>
        <v>0</v>
      </c>
    </row>
    <row r="1631" spans="1:5" x14ac:dyDescent="0.25">
      <c r="A1631" s="60">
        <v>197</v>
      </c>
      <c r="B1631" s="60" t="s">
        <v>118</v>
      </c>
      <c r="C1631" s="60">
        <v>200</v>
      </c>
      <c r="D1631" s="60">
        <v>0</v>
      </c>
      <c r="E1631" s="60">
        <f t="shared" si="25"/>
        <v>0</v>
      </c>
    </row>
    <row r="1632" spans="1:5" x14ac:dyDescent="0.25">
      <c r="A1632" s="60">
        <v>197</v>
      </c>
      <c r="B1632" s="60" t="s">
        <v>118</v>
      </c>
      <c r="C1632" s="60">
        <v>220</v>
      </c>
      <c r="D1632" s="60">
        <v>0</v>
      </c>
      <c r="E1632" s="60">
        <f t="shared" si="25"/>
        <v>0</v>
      </c>
    </row>
    <row r="1633" spans="1:5" x14ac:dyDescent="0.25">
      <c r="A1633" s="60">
        <v>197</v>
      </c>
      <c r="B1633" s="60" t="s">
        <v>118</v>
      </c>
      <c r="C1633" s="60">
        <v>230</v>
      </c>
      <c r="D1633" s="60">
        <v>0</v>
      </c>
      <c r="E1633" s="60">
        <f t="shared" si="25"/>
        <v>0</v>
      </c>
    </row>
    <row r="1634" spans="1:5" x14ac:dyDescent="0.25">
      <c r="A1634" s="60">
        <v>197</v>
      </c>
      <c r="B1634" s="60" t="s">
        <v>118</v>
      </c>
      <c r="C1634" s="60">
        <v>270</v>
      </c>
      <c r="D1634" s="60">
        <v>0</v>
      </c>
      <c r="E1634" s="60">
        <f t="shared" si="25"/>
        <v>0</v>
      </c>
    </row>
    <row r="1635" spans="1:5" x14ac:dyDescent="0.25">
      <c r="A1635" s="60">
        <v>197</v>
      </c>
      <c r="B1635" s="60" t="s">
        <v>119</v>
      </c>
      <c r="C1635" s="60">
        <v>1</v>
      </c>
      <c r="D1635" s="60">
        <v>0</v>
      </c>
      <c r="E1635" s="60">
        <f t="shared" si="25"/>
        <v>0</v>
      </c>
    </row>
    <row r="1636" spans="1:5" x14ac:dyDescent="0.25">
      <c r="A1636" s="60">
        <v>197</v>
      </c>
      <c r="B1636" s="60" t="s">
        <v>119</v>
      </c>
      <c r="C1636" s="60">
        <v>10</v>
      </c>
      <c r="D1636" s="60">
        <v>0</v>
      </c>
      <c r="E1636" s="60">
        <f t="shared" si="25"/>
        <v>0</v>
      </c>
    </row>
    <row r="1637" spans="1:5" x14ac:dyDescent="0.25">
      <c r="A1637" s="60">
        <v>197</v>
      </c>
      <c r="B1637" s="60" t="s">
        <v>119</v>
      </c>
      <c r="C1637" s="60">
        <v>20</v>
      </c>
      <c r="D1637" s="60">
        <v>0</v>
      </c>
      <c r="E1637" s="60">
        <f t="shared" si="25"/>
        <v>0</v>
      </c>
    </row>
    <row r="1638" spans="1:5" x14ac:dyDescent="0.25">
      <c r="A1638" s="60">
        <v>197</v>
      </c>
      <c r="B1638" s="60" t="s">
        <v>119</v>
      </c>
      <c r="C1638" s="60">
        <v>140</v>
      </c>
      <c r="D1638" s="60">
        <v>0</v>
      </c>
      <c r="E1638" s="60">
        <f t="shared" si="25"/>
        <v>0</v>
      </c>
    </row>
    <row r="1639" spans="1:5" x14ac:dyDescent="0.25">
      <c r="A1639" s="60">
        <v>197</v>
      </c>
      <c r="B1639" s="60" t="s">
        <v>119</v>
      </c>
      <c r="C1639" s="60">
        <v>200</v>
      </c>
      <c r="D1639" s="60">
        <v>0</v>
      </c>
      <c r="E1639" s="60">
        <f t="shared" si="25"/>
        <v>0</v>
      </c>
    </row>
    <row r="1640" spans="1:5" x14ac:dyDescent="0.25">
      <c r="A1640" s="60">
        <v>197</v>
      </c>
      <c r="B1640" s="60" t="s">
        <v>119</v>
      </c>
      <c r="C1640" s="60">
        <v>210</v>
      </c>
      <c r="D1640" s="60">
        <v>0</v>
      </c>
      <c r="E1640" s="60">
        <f t="shared" si="25"/>
        <v>0</v>
      </c>
    </row>
    <row r="1641" spans="1:5" x14ac:dyDescent="0.25">
      <c r="A1641" s="60">
        <v>197</v>
      </c>
      <c r="B1641" s="60" t="s">
        <v>119</v>
      </c>
      <c r="C1641" s="60">
        <v>220</v>
      </c>
      <c r="D1641" s="60">
        <v>0</v>
      </c>
      <c r="E1641" s="60">
        <f t="shared" si="25"/>
        <v>0</v>
      </c>
    </row>
    <row r="1642" spans="1:5" x14ac:dyDescent="0.25">
      <c r="A1642" s="60">
        <v>197</v>
      </c>
      <c r="B1642" s="60" t="s">
        <v>119</v>
      </c>
      <c r="C1642" s="60">
        <v>230</v>
      </c>
      <c r="D1642" s="60">
        <v>0</v>
      </c>
      <c r="E1642" s="60">
        <f t="shared" si="25"/>
        <v>0</v>
      </c>
    </row>
    <row r="1643" spans="1:5" x14ac:dyDescent="0.25">
      <c r="A1643" s="60">
        <v>197</v>
      </c>
      <c r="B1643" s="60" t="s">
        <v>119</v>
      </c>
      <c r="C1643" s="60">
        <v>270</v>
      </c>
      <c r="D1643" s="60">
        <v>0</v>
      </c>
      <c r="E1643" s="60">
        <f t="shared" si="25"/>
        <v>0</v>
      </c>
    </row>
    <row r="1644" spans="1:5" x14ac:dyDescent="0.25">
      <c r="A1644" s="60">
        <v>197</v>
      </c>
      <c r="B1644" s="60" t="s">
        <v>120</v>
      </c>
      <c r="C1644" s="60">
        <v>1</v>
      </c>
      <c r="D1644" s="60">
        <v>0</v>
      </c>
      <c r="E1644" s="60">
        <f t="shared" si="25"/>
        <v>0</v>
      </c>
    </row>
    <row r="1645" spans="1:5" x14ac:dyDescent="0.25">
      <c r="A1645" s="60">
        <v>197</v>
      </c>
      <c r="B1645" s="60" t="s">
        <v>120</v>
      </c>
      <c r="C1645" s="60">
        <v>20</v>
      </c>
      <c r="D1645" s="60">
        <v>0</v>
      </c>
      <c r="E1645" s="60">
        <f t="shared" si="25"/>
        <v>0</v>
      </c>
    </row>
    <row r="1646" spans="1:5" x14ac:dyDescent="0.25">
      <c r="A1646" s="60">
        <v>197</v>
      </c>
      <c r="B1646" s="60" t="s">
        <v>120</v>
      </c>
      <c r="C1646" s="60">
        <v>140</v>
      </c>
      <c r="D1646" s="60">
        <v>0</v>
      </c>
      <c r="E1646" s="60">
        <f t="shared" si="25"/>
        <v>0</v>
      </c>
    </row>
    <row r="1647" spans="1:5" x14ac:dyDescent="0.25">
      <c r="A1647" s="60">
        <v>197</v>
      </c>
      <c r="B1647" s="60" t="s">
        <v>121</v>
      </c>
      <c r="C1647" s="60">
        <v>50</v>
      </c>
      <c r="D1647" s="60">
        <v>0</v>
      </c>
      <c r="E1647" s="60">
        <f t="shared" si="25"/>
        <v>0</v>
      </c>
    </row>
    <row r="1648" spans="1:5" x14ac:dyDescent="0.25">
      <c r="A1648" s="60">
        <v>198</v>
      </c>
      <c r="B1648" s="60" t="s">
        <v>117</v>
      </c>
      <c r="C1648" s="60">
        <v>1</v>
      </c>
      <c r="D1648" s="60">
        <v>9331398</v>
      </c>
      <c r="E1648" s="60">
        <f t="shared" si="25"/>
        <v>9331398</v>
      </c>
    </row>
    <row r="1649" spans="1:5" x14ac:dyDescent="0.25">
      <c r="A1649" s="60">
        <v>198</v>
      </c>
      <c r="B1649" s="60" t="s">
        <v>117</v>
      </c>
      <c r="C1649" s="60">
        <v>10</v>
      </c>
      <c r="D1649" s="60">
        <v>0</v>
      </c>
      <c r="E1649" s="60">
        <f t="shared" si="25"/>
        <v>0</v>
      </c>
    </row>
    <row r="1650" spans="1:5" x14ac:dyDescent="0.25">
      <c r="A1650" s="60">
        <v>198</v>
      </c>
      <c r="B1650" s="60" t="s">
        <v>117</v>
      </c>
      <c r="C1650" s="60">
        <v>15</v>
      </c>
      <c r="D1650" s="60">
        <v>0</v>
      </c>
      <c r="E1650" s="60">
        <f t="shared" si="25"/>
        <v>0</v>
      </c>
    </row>
    <row r="1651" spans="1:5" x14ac:dyDescent="0.25">
      <c r="A1651" s="60">
        <v>198</v>
      </c>
      <c r="B1651" s="60" t="s">
        <v>117</v>
      </c>
      <c r="C1651" s="60">
        <v>50</v>
      </c>
      <c r="D1651" s="60">
        <v>0</v>
      </c>
      <c r="E1651" s="60">
        <f t="shared" si="25"/>
        <v>0</v>
      </c>
    </row>
    <row r="1652" spans="1:5" x14ac:dyDescent="0.25">
      <c r="A1652" s="60">
        <v>198</v>
      </c>
      <c r="B1652" s="60" t="s">
        <v>117</v>
      </c>
      <c r="C1652" s="60">
        <v>51</v>
      </c>
      <c r="D1652" s="60">
        <v>0</v>
      </c>
      <c r="E1652" s="60">
        <f t="shared" si="25"/>
        <v>0</v>
      </c>
    </row>
    <row r="1653" spans="1:5" x14ac:dyDescent="0.25">
      <c r="A1653" s="60">
        <v>198</v>
      </c>
      <c r="B1653" s="60" t="s">
        <v>117</v>
      </c>
      <c r="C1653" s="60">
        <v>110</v>
      </c>
      <c r="D1653" s="60">
        <v>756400</v>
      </c>
      <c r="E1653" s="60">
        <f t="shared" si="25"/>
        <v>-756400</v>
      </c>
    </row>
    <row r="1654" spans="1:5" x14ac:dyDescent="0.25">
      <c r="A1654" s="60">
        <v>198</v>
      </c>
      <c r="B1654" s="60" t="s">
        <v>117</v>
      </c>
      <c r="C1654" s="60">
        <v>120</v>
      </c>
      <c r="D1654" s="60">
        <v>0</v>
      </c>
      <c r="E1654" s="60">
        <f t="shared" si="25"/>
        <v>0</v>
      </c>
    </row>
    <row r="1655" spans="1:5" x14ac:dyDescent="0.25">
      <c r="A1655" s="60">
        <v>198</v>
      </c>
      <c r="B1655" s="60" t="s">
        <v>117</v>
      </c>
      <c r="C1655" s="60">
        <v>130</v>
      </c>
      <c r="D1655" s="60">
        <v>0</v>
      </c>
      <c r="E1655" s="60">
        <f t="shared" si="25"/>
        <v>0</v>
      </c>
    </row>
    <row r="1656" spans="1:5" x14ac:dyDescent="0.25">
      <c r="A1656" s="60">
        <v>198</v>
      </c>
      <c r="B1656" s="60" t="s">
        <v>117</v>
      </c>
      <c r="C1656" s="60">
        <v>140</v>
      </c>
      <c r="D1656" s="60">
        <v>795500</v>
      </c>
      <c r="E1656" s="60">
        <f t="shared" si="25"/>
        <v>-795500</v>
      </c>
    </row>
    <row r="1657" spans="1:5" x14ac:dyDescent="0.25">
      <c r="A1657" s="60">
        <v>198</v>
      </c>
      <c r="B1657" s="60" t="s">
        <v>117</v>
      </c>
      <c r="C1657" s="60">
        <v>141</v>
      </c>
      <c r="D1657" s="60">
        <v>103160</v>
      </c>
      <c r="E1657" s="60">
        <f t="shared" si="25"/>
        <v>-103160</v>
      </c>
    </row>
    <row r="1658" spans="1:5" x14ac:dyDescent="0.25">
      <c r="A1658" s="60">
        <v>198</v>
      </c>
      <c r="B1658" s="60" t="s">
        <v>117</v>
      </c>
      <c r="C1658" s="60">
        <v>200</v>
      </c>
      <c r="D1658" s="60">
        <v>0</v>
      </c>
      <c r="E1658" s="60">
        <f t="shared" si="25"/>
        <v>0</v>
      </c>
    </row>
    <row r="1659" spans="1:5" x14ac:dyDescent="0.25">
      <c r="A1659" s="60">
        <v>198</v>
      </c>
      <c r="B1659" s="60" t="s">
        <v>117</v>
      </c>
      <c r="C1659" s="60">
        <v>210</v>
      </c>
      <c r="D1659" s="60">
        <v>0</v>
      </c>
      <c r="E1659" s="60">
        <f t="shared" si="25"/>
        <v>0</v>
      </c>
    </row>
    <row r="1660" spans="1:5" x14ac:dyDescent="0.25">
      <c r="A1660" s="60">
        <v>198</v>
      </c>
      <c r="B1660" s="60" t="s">
        <v>117</v>
      </c>
      <c r="C1660" s="60">
        <v>230</v>
      </c>
      <c r="D1660" s="60">
        <v>0</v>
      </c>
      <c r="E1660" s="60">
        <f t="shared" si="25"/>
        <v>0</v>
      </c>
    </row>
    <row r="1661" spans="1:5" x14ac:dyDescent="0.25">
      <c r="A1661" s="60">
        <v>198</v>
      </c>
      <c r="B1661" s="60" t="s">
        <v>117</v>
      </c>
      <c r="C1661" s="60">
        <v>270</v>
      </c>
      <c r="D1661" s="60">
        <v>0</v>
      </c>
      <c r="E1661" s="60">
        <f t="shared" si="25"/>
        <v>0</v>
      </c>
    </row>
    <row r="1662" spans="1:5" x14ac:dyDescent="0.25">
      <c r="A1662" s="60">
        <v>198</v>
      </c>
      <c r="B1662" s="60" t="s">
        <v>118</v>
      </c>
      <c r="C1662" s="60">
        <v>1</v>
      </c>
      <c r="D1662" s="60">
        <v>0</v>
      </c>
      <c r="E1662" s="60">
        <f t="shared" si="25"/>
        <v>0</v>
      </c>
    </row>
    <row r="1663" spans="1:5" x14ac:dyDescent="0.25">
      <c r="A1663" s="60">
        <v>198</v>
      </c>
      <c r="B1663" s="60" t="s">
        <v>118</v>
      </c>
      <c r="C1663" s="60">
        <v>10</v>
      </c>
      <c r="D1663" s="60">
        <v>0</v>
      </c>
      <c r="E1663" s="60">
        <f t="shared" si="25"/>
        <v>0</v>
      </c>
    </row>
    <row r="1664" spans="1:5" x14ac:dyDescent="0.25">
      <c r="A1664" s="60">
        <v>198</v>
      </c>
      <c r="B1664" s="60" t="s">
        <v>118</v>
      </c>
      <c r="C1664" s="60">
        <v>20</v>
      </c>
      <c r="D1664" s="60">
        <v>0</v>
      </c>
      <c r="E1664" s="60">
        <f t="shared" si="25"/>
        <v>0</v>
      </c>
    </row>
    <row r="1665" spans="1:5" x14ac:dyDescent="0.25">
      <c r="A1665" s="60">
        <v>198</v>
      </c>
      <c r="B1665" s="60" t="s">
        <v>118</v>
      </c>
      <c r="C1665" s="60">
        <v>50</v>
      </c>
      <c r="D1665" s="60">
        <v>0</v>
      </c>
      <c r="E1665" s="60">
        <f t="shared" si="25"/>
        <v>0</v>
      </c>
    </row>
    <row r="1666" spans="1:5" x14ac:dyDescent="0.25">
      <c r="A1666" s="60">
        <v>198</v>
      </c>
      <c r="B1666" s="60" t="s">
        <v>118</v>
      </c>
      <c r="C1666" s="60">
        <v>70</v>
      </c>
      <c r="D1666" s="60">
        <v>0</v>
      </c>
      <c r="E1666" s="60">
        <f t="shared" ref="E1666:E1729" si="26">IF(C1666&lt;100,D1666,D1666*-1)</f>
        <v>0</v>
      </c>
    </row>
    <row r="1667" spans="1:5" x14ac:dyDescent="0.25">
      <c r="A1667" s="60">
        <v>198</v>
      </c>
      <c r="B1667" s="60" t="s">
        <v>118</v>
      </c>
      <c r="C1667" s="60">
        <v>110</v>
      </c>
      <c r="D1667" s="60">
        <v>0</v>
      </c>
      <c r="E1667" s="60">
        <f t="shared" si="26"/>
        <v>0</v>
      </c>
    </row>
    <row r="1668" spans="1:5" x14ac:dyDescent="0.25">
      <c r="A1668" s="60">
        <v>198</v>
      </c>
      <c r="B1668" s="60" t="s">
        <v>118</v>
      </c>
      <c r="C1668" s="60">
        <v>140</v>
      </c>
      <c r="D1668" s="60">
        <v>0</v>
      </c>
      <c r="E1668" s="60">
        <f t="shared" si="26"/>
        <v>0</v>
      </c>
    </row>
    <row r="1669" spans="1:5" x14ac:dyDescent="0.25">
      <c r="A1669" s="60">
        <v>198</v>
      </c>
      <c r="B1669" s="60" t="s">
        <v>118</v>
      </c>
      <c r="C1669" s="60">
        <v>200</v>
      </c>
      <c r="D1669" s="60">
        <v>0</v>
      </c>
      <c r="E1669" s="60">
        <f t="shared" si="26"/>
        <v>0</v>
      </c>
    </row>
    <row r="1670" spans="1:5" x14ac:dyDescent="0.25">
      <c r="A1670" s="60">
        <v>198</v>
      </c>
      <c r="B1670" s="60" t="s">
        <v>118</v>
      </c>
      <c r="C1670" s="60">
        <v>210</v>
      </c>
      <c r="D1670" s="60">
        <v>0</v>
      </c>
      <c r="E1670" s="60">
        <f t="shared" si="26"/>
        <v>0</v>
      </c>
    </row>
    <row r="1671" spans="1:5" x14ac:dyDescent="0.25">
      <c r="A1671" s="60">
        <v>198</v>
      </c>
      <c r="B1671" s="60" t="s">
        <v>118</v>
      </c>
      <c r="C1671" s="60">
        <v>220</v>
      </c>
      <c r="D1671" s="60">
        <v>0</v>
      </c>
      <c r="E1671" s="60">
        <f t="shared" si="26"/>
        <v>0</v>
      </c>
    </row>
    <row r="1672" spans="1:5" x14ac:dyDescent="0.25">
      <c r="A1672" s="60">
        <v>198</v>
      </c>
      <c r="B1672" s="60" t="s">
        <v>118</v>
      </c>
      <c r="C1672" s="60">
        <v>230</v>
      </c>
      <c r="D1672" s="60">
        <v>0</v>
      </c>
      <c r="E1672" s="60">
        <f t="shared" si="26"/>
        <v>0</v>
      </c>
    </row>
    <row r="1673" spans="1:5" x14ac:dyDescent="0.25">
      <c r="A1673" s="60">
        <v>198</v>
      </c>
      <c r="B1673" s="60" t="s">
        <v>118</v>
      </c>
      <c r="C1673" s="60">
        <v>270</v>
      </c>
      <c r="D1673" s="60">
        <v>0</v>
      </c>
      <c r="E1673" s="60">
        <f t="shared" si="26"/>
        <v>0</v>
      </c>
    </row>
    <row r="1674" spans="1:5" x14ac:dyDescent="0.25">
      <c r="A1674" s="60">
        <v>198</v>
      </c>
      <c r="B1674" s="60" t="s">
        <v>119</v>
      </c>
      <c r="C1674" s="60">
        <v>1</v>
      </c>
      <c r="D1674" s="60">
        <v>0</v>
      </c>
      <c r="E1674" s="60">
        <f t="shared" si="26"/>
        <v>0</v>
      </c>
    </row>
    <row r="1675" spans="1:5" x14ac:dyDescent="0.25">
      <c r="A1675" s="60">
        <v>198</v>
      </c>
      <c r="B1675" s="60" t="s">
        <v>119</v>
      </c>
      <c r="C1675" s="60">
        <v>10</v>
      </c>
      <c r="D1675" s="60">
        <v>0</v>
      </c>
      <c r="E1675" s="60">
        <f t="shared" si="26"/>
        <v>0</v>
      </c>
    </row>
    <row r="1676" spans="1:5" x14ac:dyDescent="0.25">
      <c r="A1676" s="60">
        <v>198</v>
      </c>
      <c r="B1676" s="60" t="s">
        <v>119</v>
      </c>
      <c r="C1676" s="60">
        <v>20</v>
      </c>
      <c r="D1676" s="60">
        <v>0</v>
      </c>
      <c r="E1676" s="60">
        <f t="shared" si="26"/>
        <v>0</v>
      </c>
    </row>
    <row r="1677" spans="1:5" x14ac:dyDescent="0.25">
      <c r="A1677" s="60">
        <v>198</v>
      </c>
      <c r="B1677" s="60" t="s">
        <v>119</v>
      </c>
      <c r="C1677" s="60">
        <v>50</v>
      </c>
      <c r="D1677" s="60">
        <v>0</v>
      </c>
      <c r="E1677" s="60">
        <f t="shared" si="26"/>
        <v>0</v>
      </c>
    </row>
    <row r="1678" spans="1:5" x14ac:dyDescent="0.25">
      <c r="A1678" s="60">
        <v>198</v>
      </c>
      <c r="B1678" s="60" t="s">
        <v>119</v>
      </c>
      <c r="C1678" s="60">
        <v>70</v>
      </c>
      <c r="D1678" s="60">
        <v>0</v>
      </c>
      <c r="E1678" s="60">
        <f t="shared" si="26"/>
        <v>0</v>
      </c>
    </row>
    <row r="1679" spans="1:5" x14ac:dyDescent="0.25">
      <c r="A1679" s="60">
        <v>198</v>
      </c>
      <c r="B1679" s="60" t="s">
        <v>119</v>
      </c>
      <c r="C1679" s="60">
        <v>110</v>
      </c>
      <c r="D1679" s="60">
        <v>0</v>
      </c>
      <c r="E1679" s="60">
        <f t="shared" si="26"/>
        <v>0</v>
      </c>
    </row>
    <row r="1680" spans="1:5" x14ac:dyDescent="0.25">
      <c r="A1680" s="60">
        <v>198</v>
      </c>
      <c r="B1680" s="60" t="s">
        <v>119</v>
      </c>
      <c r="C1680" s="60">
        <v>140</v>
      </c>
      <c r="D1680" s="60">
        <v>0</v>
      </c>
      <c r="E1680" s="60">
        <f t="shared" si="26"/>
        <v>0</v>
      </c>
    </row>
    <row r="1681" spans="1:5" x14ac:dyDescent="0.25">
      <c r="A1681" s="60">
        <v>198</v>
      </c>
      <c r="B1681" s="60" t="s">
        <v>119</v>
      </c>
      <c r="C1681" s="60">
        <v>200</v>
      </c>
      <c r="D1681" s="60">
        <v>0</v>
      </c>
      <c r="E1681" s="60">
        <f t="shared" si="26"/>
        <v>0</v>
      </c>
    </row>
    <row r="1682" spans="1:5" x14ac:dyDescent="0.25">
      <c r="A1682" s="60">
        <v>198</v>
      </c>
      <c r="B1682" s="60" t="s">
        <v>119</v>
      </c>
      <c r="C1682" s="60">
        <v>210</v>
      </c>
      <c r="D1682" s="60">
        <v>0</v>
      </c>
      <c r="E1682" s="60">
        <f t="shared" si="26"/>
        <v>0</v>
      </c>
    </row>
    <row r="1683" spans="1:5" x14ac:dyDescent="0.25">
      <c r="A1683" s="60">
        <v>198</v>
      </c>
      <c r="B1683" s="60" t="s">
        <v>119</v>
      </c>
      <c r="C1683" s="60">
        <v>220</v>
      </c>
      <c r="D1683" s="60">
        <v>0</v>
      </c>
      <c r="E1683" s="60">
        <f t="shared" si="26"/>
        <v>0</v>
      </c>
    </row>
    <row r="1684" spans="1:5" x14ac:dyDescent="0.25">
      <c r="A1684" s="60">
        <v>198</v>
      </c>
      <c r="B1684" s="60" t="s">
        <v>119</v>
      </c>
      <c r="C1684" s="60">
        <v>230</v>
      </c>
      <c r="D1684" s="60">
        <v>0</v>
      </c>
      <c r="E1684" s="60">
        <f t="shared" si="26"/>
        <v>0</v>
      </c>
    </row>
    <row r="1685" spans="1:5" x14ac:dyDescent="0.25">
      <c r="A1685" s="60">
        <v>198</v>
      </c>
      <c r="B1685" s="60" t="s">
        <v>120</v>
      </c>
      <c r="C1685" s="60">
        <v>10</v>
      </c>
      <c r="D1685" s="60">
        <v>0</v>
      </c>
      <c r="E1685" s="60">
        <f t="shared" si="26"/>
        <v>0</v>
      </c>
    </row>
    <row r="1686" spans="1:5" x14ac:dyDescent="0.25">
      <c r="A1686" s="60">
        <v>198</v>
      </c>
      <c r="B1686" s="60" t="s">
        <v>121</v>
      </c>
      <c r="C1686" s="60">
        <v>1</v>
      </c>
      <c r="D1686" s="60">
        <v>0</v>
      </c>
      <c r="E1686" s="60">
        <f t="shared" si="26"/>
        <v>0</v>
      </c>
    </row>
    <row r="1687" spans="1:5" x14ac:dyDescent="0.25">
      <c r="A1687" s="60">
        <v>198</v>
      </c>
      <c r="B1687" s="60" t="s">
        <v>121</v>
      </c>
      <c r="C1687" s="60">
        <v>10</v>
      </c>
      <c r="D1687" s="60">
        <v>0</v>
      </c>
      <c r="E1687" s="60">
        <f t="shared" si="26"/>
        <v>0</v>
      </c>
    </row>
    <row r="1688" spans="1:5" x14ac:dyDescent="0.25">
      <c r="A1688" s="60">
        <v>198</v>
      </c>
      <c r="B1688" s="60" t="s">
        <v>121</v>
      </c>
      <c r="C1688" s="60">
        <v>20</v>
      </c>
      <c r="D1688" s="60">
        <v>0</v>
      </c>
      <c r="E1688" s="60">
        <f t="shared" si="26"/>
        <v>0</v>
      </c>
    </row>
    <row r="1689" spans="1:5" x14ac:dyDescent="0.25">
      <c r="A1689" s="60">
        <v>198</v>
      </c>
      <c r="B1689" s="60" t="s">
        <v>121</v>
      </c>
      <c r="C1689" s="60">
        <v>50</v>
      </c>
      <c r="D1689" s="60">
        <v>0</v>
      </c>
      <c r="E1689" s="60">
        <f t="shared" si="26"/>
        <v>0</v>
      </c>
    </row>
    <row r="1690" spans="1:5" x14ac:dyDescent="0.25">
      <c r="A1690" s="60">
        <v>198</v>
      </c>
      <c r="B1690" s="60" t="s">
        <v>121</v>
      </c>
      <c r="C1690" s="60">
        <v>70</v>
      </c>
      <c r="D1690" s="60">
        <v>0</v>
      </c>
      <c r="E1690" s="60">
        <f t="shared" si="26"/>
        <v>0</v>
      </c>
    </row>
    <row r="1691" spans="1:5" x14ac:dyDescent="0.25">
      <c r="A1691" s="60">
        <v>198</v>
      </c>
      <c r="B1691" s="60" t="s">
        <v>121</v>
      </c>
      <c r="C1691" s="60">
        <v>110</v>
      </c>
      <c r="D1691" s="60">
        <v>0</v>
      </c>
      <c r="E1691" s="60">
        <f t="shared" si="26"/>
        <v>0</v>
      </c>
    </row>
    <row r="1692" spans="1:5" x14ac:dyDescent="0.25">
      <c r="A1692" s="60">
        <v>198</v>
      </c>
      <c r="B1692" s="60" t="s">
        <v>121</v>
      </c>
      <c r="C1692" s="60">
        <v>140</v>
      </c>
      <c r="D1692" s="60">
        <v>0</v>
      </c>
      <c r="E1692" s="60">
        <f t="shared" si="26"/>
        <v>0</v>
      </c>
    </row>
    <row r="1693" spans="1:5" x14ac:dyDescent="0.25">
      <c r="A1693" s="60">
        <v>198</v>
      </c>
      <c r="B1693" s="60" t="s">
        <v>121</v>
      </c>
      <c r="C1693" s="60">
        <v>210</v>
      </c>
      <c r="D1693" s="60">
        <v>0</v>
      </c>
      <c r="E1693" s="60">
        <f t="shared" si="26"/>
        <v>0</v>
      </c>
    </row>
    <row r="1694" spans="1:5" x14ac:dyDescent="0.25">
      <c r="A1694" s="60">
        <v>198</v>
      </c>
      <c r="B1694" s="60" t="s">
        <v>121</v>
      </c>
      <c r="C1694" s="60">
        <v>220</v>
      </c>
      <c r="D1694" s="60">
        <v>0</v>
      </c>
      <c r="E1694" s="60">
        <f t="shared" si="26"/>
        <v>0</v>
      </c>
    </row>
    <row r="1695" spans="1:5" x14ac:dyDescent="0.25">
      <c r="A1695" s="60">
        <v>199</v>
      </c>
      <c r="B1695" s="60" t="s">
        <v>117</v>
      </c>
      <c r="C1695" s="60">
        <v>1</v>
      </c>
      <c r="D1695" s="60">
        <v>17313866</v>
      </c>
      <c r="E1695" s="60">
        <f t="shared" si="26"/>
        <v>17313866</v>
      </c>
    </row>
    <row r="1696" spans="1:5" x14ac:dyDescent="0.25">
      <c r="A1696" s="60">
        <v>199</v>
      </c>
      <c r="B1696" s="60" t="s">
        <v>117</v>
      </c>
      <c r="C1696" s="60">
        <v>10</v>
      </c>
      <c r="D1696" s="60">
        <v>0</v>
      </c>
      <c r="E1696" s="60">
        <f t="shared" si="26"/>
        <v>0</v>
      </c>
    </row>
    <row r="1697" spans="1:5" x14ac:dyDescent="0.25">
      <c r="A1697" s="60">
        <v>199</v>
      </c>
      <c r="B1697" s="60" t="s">
        <v>117</v>
      </c>
      <c r="C1697" s="60">
        <v>20</v>
      </c>
      <c r="D1697" s="60">
        <v>0</v>
      </c>
      <c r="E1697" s="60">
        <f t="shared" si="26"/>
        <v>0</v>
      </c>
    </row>
    <row r="1698" spans="1:5" x14ac:dyDescent="0.25">
      <c r="A1698" s="60">
        <v>199</v>
      </c>
      <c r="B1698" s="60" t="s">
        <v>117</v>
      </c>
      <c r="C1698" s="60">
        <v>50</v>
      </c>
      <c r="D1698" s="60">
        <v>1580</v>
      </c>
      <c r="E1698" s="60">
        <f t="shared" si="26"/>
        <v>1580</v>
      </c>
    </row>
    <row r="1699" spans="1:5" x14ac:dyDescent="0.25">
      <c r="A1699" s="60">
        <v>199</v>
      </c>
      <c r="B1699" s="60" t="s">
        <v>117</v>
      </c>
      <c r="C1699" s="60">
        <v>70</v>
      </c>
      <c r="D1699" s="60">
        <v>269854</v>
      </c>
      <c r="E1699" s="60">
        <f t="shared" si="26"/>
        <v>269854</v>
      </c>
    </row>
    <row r="1700" spans="1:5" x14ac:dyDescent="0.25">
      <c r="A1700" s="60">
        <v>199</v>
      </c>
      <c r="B1700" s="60" t="s">
        <v>117</v>
      </c>
      <c r="C1700" s="60">
        <v>110</v>
      </c>
      <c r="D1700" s="60">
        <v>12394140</v>
      </c>
      <c r="E1700" s="60">
        <f t="shared" si="26"/>
        <v>-12394140</v>
      </c>
    </row>
    <row r="1701" spans="1:5" x14ac:dyDescent="0.25">
      <c r="A1701" s="60">
        <v>199</v>
      </c>
      <c r="B1701" s="60" t="s">
        <v>117</v>
      </c>
      <c r="C1701" s="60">
        <v>140</v>
      </c>
      <c r="D1701" s="60">
        <v>5191160</v>
      </c>
      <c r="E1701" s="60">
        <f t="shared" si="26"/>
        <v>-5191160</v>
      </c>
    </row>
    <row r="1702" spans="1:5" x14ac:dyDescent="0.25">
      <c r="A1702" s="60">
        <v>199</v>
      </c>
      <c r="B1702" s="60" t="s">
        <v>117</v>
      </c>
      <c r="C1702" s="60">
        <v>200</v>
      </c>
      <c r="D1702" s="60">
        <v>0</v>
      </c>
      <c r="E1702" s="60">
        <f t="shared" si="26"/>
        <v>0</v>
      </c>
    </row>
    <row r="1703" spans="1:5" x14ac:dyDescent="0.25">
      <c r="A1703" s="60">
        <v>199</v>
      </c>
      <c r="B1703" s="60" t="s">
        <v>117</v>
      </c>
      <c r="C1703" s="60">
        <v>210</v>
      </c>
      <c r="D1703" s="60">
        <v>0</v>
      </c>
      <c r="E1703" s="60">
        <f t="shared" si="26"/>
        <v>0</v>
      </c>
    </row>
    <row r="1704" spans="1:5" x14ac:dyDescent="0.25">
      <c r="A1704" s="60">
        <v>199</v>
      </c>
      <c r="B1704" s="60" t="s">
        <v>117</v>
      </c>
      <c r="C1704" s="60">
        <v>220</v>
      </c>
      <c r="D1704" s="60">
        <v>0</v>
      </c>
      <c r="E1704" s="60">
        <f t="shared" si="26"/>
        <v>0</v>
      </c>
    </row>
    <row r="1705" spans="1:5" x14ac:dyDescent="0.25">
      <c r="A1705" s="60">
        <v>199</v>
      </c>
      <c r="B1705" s="60" t="s">
        <v>119</v>
      </c>
      <c r="C1705" s="60">
        <v>10</v>
      </c>
      <c r="D1705" s="60">
        <v>0</v>
      </c>
      <c r="E1705" s="60">
        <f t="shared" si="26"/>
        <v>0</v>
      </c>
    </row>
    <row r="1706" spans="1:5" x14ac:dyDescent="0.25">
      <c r="A1706" s="60">
        <v>199</v>
      </c>
      <c r="B1706" s="60" t="s">
        <v>119</v>
      </c>
      <c r="C1706" s="60">
        <v>110</v>
      </c>
      <c r="D1706" s="60">
        <v>0</v>
      </c>
      <c r="E1706" s="60">
        <f t="shared" si="26"/>
        <v>0</v>
      </c>
    </row>
    <row r="1707" spans="1:5" x14ac:dyDescent="0.25">
      <c r="A1707" s="60">
        <v>199</v>
      </c>
      <c r="B1707" s="60" t="s">
        <v>119</v>
      </c>
      <c r="C1707" s="60">
        <v>210</v>
      </c>
      <c r="D1707" s="60">
        <v>0</v>
      </c>
      <c r="E1707" s="60">
        <f t="shared" si="26"/>
        <v>0</v>
      </c>
    </row>
    <row r="1708" spans="1:5" x14ac:dyDescent="0.25">
      <c r="A1708" s="60">
        <v>199</v>
      </c>
      <c r="B1708" s="60" t="s">
        <v>119</v>
      </c>
      <c r="C1708" s="60">
        <v>230</v>
      </c>
      <c r="D1708" s="60">
        <v>0</v>
      </c>
      <c r="E1708" s="60">
        <f t="shared" si="26"/>
        <v>0</v>
      </c>
    </row>
    <row r="1709" spans="1:5" x14ac:dyDescent="0.25">
      <c r="A1709" s="60">
        <v>200</v>
      </c>
      <c r="B1709" s="60" t="s">
        <v>117</v>
      </c>
      <c r="C1709" s="60">
        <v>50</v>
      </c>
      <c r="D1709" s="60">
        <v>40589100</v>
      </c>
      <c r="E1709" s="60">
        <f t="shared" si="26"/>
        <v>40589100</v>
      </c>
    </row>
    <row r="1710" spans="1:5" x14ac:dyDescent="0.25">
      <c r="A1710" s="60">
        <v>200</v>
      </c>
      <c r="B1710" s="60" t="s">
        <v>117</v>
      </c>
      <c r="C1710" s="60">
        <v>140</v>
      </c>
      <c r="D1710" s="60">
        <v>0</v>
      </c>
      <c r="E1710" s="60">
        <f t="shared" si="26"/>
        <v>0</v>
      </c>
    </row>
    <row r="1711" spans="1:5" x14ac:dyDescent="0.25">
      <c r="A1711" s="60">
        <v>200</v>
      </c>
      <c r="B1711" s="60" t="s">
        <v>117</v>
      </c>
      <c r="C1711" s="60">
        <v>210</v>
      </c>
      <c r="D1711" s="60">
        <v>142562</v>
      </c>
      <c r="E1711" s="60">
        <f t="shared" si="26"/>
        <v>-142562</v>
      </c>
    </row>
    <row r="1712" spans="1:5" x14ac:dyDescent="0.25">
      <c r="A1712" s="60">
        <v>201</v>
      </c>
      <c r="B1712" s="60" t="s">
        <v>117</v>
      </c>
      <c r="C1712" s="60">
        <v>210</v>
      </c>
      <c r="D1712" s="60">
        <v>0</v>
      </c>
      <c r="E1712" s="60">
        <f t="shared" si="26"/>
        <v>0</v>
      </c>
    </row>
    <row r="1713" spans="1:5" x14ac:dyDescent="0.25">
      <c r="A1713" s="60">
        <v>201</v>
      </c>
      <c r="B1713" s="60" t="s">
        <v>117</v>
      </c>
      <c r="C1713" s="60">
        <v>298</v>
      </c>
      <c r="D1713" s="60">
        <v>0</v>
      </c>
      <c r="E1713" s="60">
        <f t="shared" si="26"/>
        <v>0</v>
      </c>
    </row>
    <row r="1714" spans="1:5" x14ac:dyDescent="0.25">
      <c r="A1714" s="60">
        <v>205</v>
      </c>
      <c r="B1714" s="60" t="s">
        <v>117</v>
      </c>
      <c r="C1714" s="60">
        <v>1</v>
      </c>
      <c r="D1714" s="60">
        <v>50524186</v>
      </c>
      <c r="E1714" s="60">
        <f t="shared" si="26"/>
        <v>50524186</v>
      </c>
    </row>
    <row r="1715" spans="1:5" x14ac:dyDescent="0.25">
      <c r="A1715" s="60">
        <v>205</v>
      </c>
      <c r="B1715" s="60" t="s">
        <v>117</v>
      </c>
      <c r="C1715" s="60">
        <v>10</v>
      </c>
      <c r="D1715" s="60">
        <v>6495760</v>
      </c>
      <c r="E1715" s="60">
        <f t="shared" si="26"/>
        <v>6495760</v>
      </c>
    </row>
    <row r="1716" spans="1:5" x14ac:dyDescent="0.25">
      <c r="A1716" s="60">
        <v>205</v>
      </c>
      <c r="B1716" s="60" t="s">
        <v>117</v>
      </c>
      <c r="C1716" s="60">
        <v>15</v>
      </c>
      <c r="D1716" s="60">
        <v>0</v>
      </c>
      <c r="E1716" s="60">
        <f t="shared" si="26"/>
        <v>0</v>
      </c>
    </row>
    <row r="1717" spans="1:5" x14ac:dyDescent="0.25">
      <c r="A1717" s="60">
        <v>205</v>
      </c>
      <c r="B1717" s="60" t="s">
        <v>117</v>
      </c>
      <c r="C1717" s="60">
        <v>20</v>
      </c>
      <c r="D1717" s="60">
        <v>0</v>
      </c>
      <c r="E1717" s="60">
        <f t="shared" si="26"/>
        <v>0</v>
      </c>
    </row>
    <row r="1718" spans="1:5" x14ac:dyDescent="0.25">
      <c r="A1718" s="60">
        <v>205</v>
      </c>
      <c r="B1718" s="60" t="s">
        <v>117</v>
      </c>
      <c r="C1718" s="60">
        <v>50</v>
      </c>
      <c r="D1718" s="60">
        <v>45184180</v>
      </c>
      <c r="E1718" s="60">
        <f t="shared" si="26"/>
        <v>45184180</v>
      </c>
    </row>
    <row r="1719" spans="1:5" x14ac:dyDescent="0.25">
      <c r="A1719" s="60">
        <v>205</v>
      </c>
      <c r="B1719" s="60" t="s">
        <v>117</v>
      </c>
      <c r="C1719" s="60">
        <v>60</v>
      </c>
      <c r="D1719" s="60">
        <v>0</v>
      </c>
      <c r="E1719" s="60">
        <f t="shared" si="26"/>
        <v>0</v>
      </c>
    </row>
    <row r="1720" spans="1:5" x14ac:dyDescent="0.25">
      <c r="A1720" s="60">
        <v>205</v>
      </c>
      <c r="B1720" s="60" t="s">
        <v>117</v>
      </c>
      <c r="C1720" s="60">
        <v>70</v>
      </c>
      <c r="D1720" s="60">
        <v>261116</v>
      </c>
      <c r="E1720" s="60">
        <f t="shared" si="26"/>
        <v>261116</v>
      </c>
    </row>
    <row r="1721" spans="1:5" x14ac:dyDescent="0.25">
      <c r="A1721" s="60">
        <v>205</v>
      </c>
      <c r="B1721" s="60" t="s">
        <v>117</v>
      </c>
      <c r="C1721" s="60">
        <v>100</v>
      </c>
      <c r="D1721" s="60">
        <v>0</v>
      </c>
      <c r="E1721" s="60">
        <f t="shared" si="26"/>
        <v>0</v>
      </c>
    </row>
    <row r="1722" spans="1:5" x14ac:dyDescent="0.25">
      <c r="A1722" s="60">
        <v>205</v>
      </c>
      <c r="B1722" s="60" t="s">
        <v>117</v>
      </c>
      <c r="C1722" s="60">
        <v>110</v>
      </c>
      <c r="D1722" s="60">
        <v>37853940</v>
      </c>
      <c r="E1722" s="60">
        <f t="shared" si="26"/>
        <v>-37853940</v>
      </c>
    </row>
    <row r="1723" spans="1:5" x14ac:dyDescent="0.25">
      <c r="A1723" s="60">
        <v>205</v>
      </c>
      <c r="B1723" s="60" t="s">
        <v>117</v>
      </c>
      <c r="C1723" s="60">
        <v>120</v>
      </c>
      <c r="D1723" s="60">
        <v>0</v>
      </c>
      <c r="E1723" s="60">
        <f t="shared" si="26"/>
        <v>0</v>
      </c>
    </row>
    <row r="1724" spans="1:5" x14ac:dyDescent="0.25">
      <c r="A1724" s="60">
        <v>205</v>
      </c>
      <c r="B1724" s="60" t="s">
        <v>117</v>
      </c>
      <c r="C1724" s="60">
        <v>130</v>
      </c>
      <c r="D1724" s="60">
        <v>0</v>
      </c>
      <c r="E1724" s="60">
        <f t="shared" si="26"/>
        <v>0</v>
      </c>
    </row>
    <row r="1725" spans="1:5" x14ac:dyDescent="0.25">
      <c r="A1725" s="60">
        <v>205</v>
      </c>
      <c r="B1725" s="60" t="s">
        <v>117</v>
      </c>
      <c r="C1725" s="60">
        <v>140</v>
      </c>
      <c r="D1725" s="60">
        <v>0</v>
      </c>
      <c r="E1725" s="60">
        <f t="shared" si="26"/>
        <v>0</v>
      </c>
    </row>
    <row r="1726" spans="1:5" x14ac:dyDescent="0.25">
      <c r="A1726" s="60">
        <v>205</v>
      </c>
      <c r="B1726" s="60" t="s">
        <v>117</v>
      </c>
      <c r="C1726" s="60">
        <v>200</v>
      </c>
      <c r="D1726" s="60">
        <v>31799</v>
      </c>
      <c r="E1726" s="60">
        <f t="shared" si="26"/>
        <v>-31799</v>
      </c>
    </row>
    <row r="1727" spans="1:5" x14ac:dyDescent="0.25">
      <c r="A1727" s="60">
        <v>205</v>
      </c>
      <c r="B1727" s="60" t="s">
        <v>117</v>
      </c>
      <c r="C1727" s="60">
        <v>210</v>
      </c>
      <c r="D1727" s="60">
        <v>327340</v>
      </c>
      <c r="E1727" s="60">
        <f t="shared" si="26"/>
        <v>-327340</v>
      </c>
    </row>
    <row r="1728" spans="1:5" x14ac:dyDescent="0.25">
      <c r="A1728" s="60">
        <v>205</v>
      </c>
      <c r="B1728" s="60" t="s">
        <v>117</v>
      </c>
      <c r="C1728" s="60">
        <v>220</v>
      </c>
      <c r="D1728" s="60">
        <v>0</v>
      </c>
      <c r="E1728" s="60">
        <f t="shared" si="26"/>
        <v>0</v>
      </c>
    </row>
    <row r="1729" spans="1:5" x14ac:dyDescent="0.25">
      <c r="A1729" s="60">
        <v>205</v>
      </c>
      <c r="B1729" s="60" t="s">
        <v>117</v>
      </c>
      <c r="C1729" s="60">
        <v>298</v>
      </c>
      <c r="D1729" s="60">
        <v>0</v>
      </c>
      <c r="E1729" s="60">
        <f t="shared" si="26"/>
        <v>0</v>
      </c>
    </row>
    <row r="1730" spans="1:5" x14ac:dyDescent="0.25">
      <c r="A1730" s="60">
        <v>205</v>
      </c>
      <c r="B1730" s="60" t="s">
        <v>118</v>
      </c>
      <c r="C1730" s="60">
        <v>10</v>
      </c>
      <c r="D1730" s="60">
        <v>0</v>
      </c>
      <c r="E1730" s="60">
        <f t="shared" ref="E1730:E1793" si="27">IF(C1730&lt;100,D1730,D1730*-1)</f>
        <v>0</v>
      </c>
    </row>
    <row r="1731" spans="1:5" x14ac:dyDescent="0.25">
      <c r="A1731" s="60">
        <v>205</v>
      </c>
      <c r="B1731" s="60" t="s">
        <v>118</v>
      </c>
      <c r="C1731" s="60">
        <v>50</v>
      </c>
      <c r="D1731" s="60">
        <v>0</v>
      </c>
      <c r="E1731" s="60">
        <f t="shared" si="27"/>
        <v>0</v>
      </c>
    </row>
    <row r="1732" spans="1:5" x14ac:dyDescent="0.25">
      <c r="A1732" s="60">
        <v>205</v>
      </c>
      <c r="B1732" s="60" t="s">
        <v>118</v>
      </c>
      <c r="C1732" s="60">
        <v>210</v>
      </c>
      <c r="D1732" s="60">
        <v>0</v>
      </c>
      <c r="E1732" s="60">
        <f t="shared" si="27"/>
        <v>0</v>
      </c>
    </row>
    <row r="1733" spans="1:5" x14ac:dyDescent="0.25">
      <c r="A1733" s="60">
        <v>205</v>
      </c>
      <c r="B1733" s="60" t="s">
        <v>119</v>
      </c>
      <c r="C1733" s="60">
        <v>1</v>
      </c>
      <c r="D1733" s="60">
        <v>29834781</v>
      </c>
      <c r="E1733" s="60">
        <f t="shared" si="27"/>
        <v>29834781</v>
      </c>
    </row>
    <row r="1734" spans="1:5" x14ac:dyDescent="0.25">
      <c r="A1734" s="60">
        <v>205</v>
      </c>
      <c r="B1734" s="60" t="s">
        <v>119</v>
      </c>
      <c r="C1734" s="60">
        <v>10</v>
      </c>
      <c r="D1734" s="60">
        <v>3836820</v>
      </c>
      <c r="E1734" s="60">
        <f t="shared" si="27"/>
        <v>3836820</v>
      </c>
    </row>
    <row r="1735" spans="1:5" x14ac:dyDescent="0.25">
      <c r="A1735" s="60">
        <v>205</v>
      </c>
      <c r="B1735" s="60" t="s">
        <v>119</v>
      </c>
      <c r="C1735" s="60">
        <v>20</v>
      </c>
      <c r="D1735" s="60">
        <v>0</v>
      </c>
      <c r="E1735" s="60">
        <f t="shared" si="27"/>
        <v>0</v>
      </c>
    </row>
    <row r="1736" spans="1:5" x14ac:dyDescent="0.25">
      <c r="A1736" s="60">
        <v>205</v>
      </c>
      <c r="B1736" s="60" t="s">
        <v>119</v>
      </c>
      <c r="C1736" s="60">
        <v>30</v>
      </c>
      <c r="D1736" s="60">
        <v>0</v>
      </c>
      <c r="E1736" s="60">
        <f t="shared" si="27"/>
        <v>0</v>
      </c>
    </row>
    <row r="1737" spans="1:5" x14ac:dyDescent="0.25">
      <c r="A1737" s="60">
        <v>205</v>
      </c>
      <c r="B1737" s="60" t="s">
        <v>119</v>
      </c>
      <c r="C1737" s="60">
        <v>50</v>
      </c>
      <c r="D1737" s="60">
        <v>36295180</v>
      </c>
      <c r="E1737" s="60">
        <f t="shared" si="27"/>
        <v>36295180</v>
      </c>
    </row>
    <row r="1738" spans="1:5" x14ac:dyDescent="0.25">
      <c r="A1738" s="60">
        <v>205</v>
      </c>
      <c r="B1738" s="60" t="s">
        <v>119</v>
      </c>
      <c r="C1738" s="60">
        <v>70</v>
      </c>
      <c r="D1738" s="60">
        <v>0</v>
      </c>
      <c r="E1738" s="60">
        <f t="shared" si="27"/>
        <v>0</v>
      </c>
    </row>
    <row r="1739" spans="1:5" x14ac:dyDescent="0.25">
      <c r="A1739" s="60">
        <v>205</v>
      </c>
      <c r="B1739" s="60" t="s">
        <v>119</v>
      </c>
      <c r="C1739" s="60">
        <v>100</v>
      </c>
      <c r="D1739" s="60">
        <v>0</v>
      </c>
      <c r="E1739" s="60">
        <f t="shared" si="27"/>
        <v>0</v>
      </c>
    </row>
    <row r="1740" spans="1:5" x14ac:dyDescent="0.25">
      <c r="A1740" s="60">
        <v>205</v>
      </c>
      <c r="B1740" s="60" t="s">
        <v>119</v>
      </c>
      <c r="C1740" s="60">
        <v>110</v>
      </c>
      <c r="D1740" s="60">
        <v>35764180</v>
      </c>
      <c r="E1740" s="60">
        <f t="shared" si="27"/>
        <v>-35764180</v>
      </c>
    </row>
    <row r="1741" spans="1:5" x14ac:dyDescent="0.25">
      <c r="A1741" s="60">
        <v>205</v>
      </c>
      <c r="B1741" s="60" t="s">
        <v>119</v>
      </c>
      <c r="C1741" s="60">
        <v>120</v>
      </c>
      <c r="D1741" s="60">
        <v>0</v>
      </c>
      <c r="E1741" s="60">
        <f t="shared" si="27"/>
        <v>0</v>
      </c>
    </row>
    <row r="1742" spans="1:5" x14ac:dyDescent="0.25">
      <c r="A1742" s="60">
        <v>205</v>
      </c>
      <c r="B1742" s="60" t="s">
        <v>119</v>
      </c>
      <c r="C1742" s="60">
        <v>130</v>
      </c>
      <c r="D1742" s="60">
        <v>0</v>
      </c>
      <c r="E1742" s="60">
        <f t="shared" si="27"/>
        <v>0</v>
      </c>
    </row>
    <row r="1743" spans="1:5" x14ac:dyDescent="0.25">
      <c r="A1743" s="60">
        <v>205</v>
      </c>
      <c r="B1743" s="60" t="s">
        <v>119</v>
      </c>
      <c r="C1743" s="60">
        <v>140</v>
      </c>
      <c r="D1743" s="60">
        <v>0</v>
      </c>
      <c r="E1743" s="60">
        <f t="shared" si="27"/>
        <v>0</v>
      </c>
    </row>
    <row r="1744" spans="1:5" x14ac:dyDescent="0.25">
      <c r="A1744" s="60">
        <v>205</v>
      </c>
      <c r="B1744" s="60" t="s">
        <v>119</v>
      </c>
      <c r="C1744" s="60">
        <v>150</v>
      </c>
      <c r="D1744" s="60">
        <v>0</v>
      </c>
      <c r="E1744" s="60">
        <f t="shared" si="27"/>
        <v>0</v>
      </c>
    </row>
    <row r="1745" spans="1:5" x14ac:dyDescent="0.25">
      <c r="A1745" s="60">
        <v>205</v>
      </c>
      <c r="B1745" s="60" t="s">
        <v>119</v>
      </c>
      <c r="C1745" s="60">
        <v>200</v>
      </c>
      <c r="D1745" s="60">
        <v>17009</v>
      </c>
      <c r="E1745" s="60">
        <f t="shared" si="27"/>
        <v>-17009</v>
      </c>
    </row>
    <row r="1746" spans="1:5" x14ac:dyDescent="0.25">
      <c r="A1746" s="60">
        <v>205</v>
      </c>
      <c r="B1746" s="60" t="s">
        <v>119</v>
      </c>
      <c r="C1746" s="60">
        <v>210</v>
      </c>
      <c r="D1746" s="60">
        <v>300260</v>
      </c>
      <c r="E1746" s="60">
        <f t="shared" si="27"/>
        <v>-300260</v>
      </c>
    </row>
    <row r="1747" spans="1:5" x14ac:dyDescent="0.25">
      <c r="A1747" s="60">
        <v>205</v>
      </c>
      <c r="B1747" s="60" t="s">
        <v>119</v>
      </c>
      <c r="C1747" s="60">
        <v>220</v>
      </c>
      <c r="D1747" s="60">
        <v>0</v>
      </c>
      <c r="E1747" s="60">
        <f t="shared" si="27"/>
        <v>0</v>
      </c>
    </row>
    <row r="1748" spans="1:5" x14ac:dyDescent="0.25">
      <c r="A1748" s="60">
        <v>205</v>
      </c>
      <c r="B1748" s="60" t="s">
        <v>119</v>
      </c>
      <c r="C1748" s="60">
        <v>230</v>
      </c>
      <c r="D1748" s="60">
        <v>24158</v>
      </c>
      <c r="E1748" s="60">
        <f t="shared" si="27"/>
        <v>-24158</v>
      </c>
    </row>
    <row r="1749" spans="1:5" x14ac:dyDescent="0.25">
      <c r="A1749" s="60">
        <v>205</v>
      </c>
      <c r="B1749" s="60" t="s">
        <v>119</v>
      </c>
      <c r="C1749" s="60">
        <v>270</v>
      </c>
      <c r="D1749" s="60">
        <v>0</v>
      </c>
      <c r="E1749" s="60">
        <f t="shared" si="27"/>
        <v>0</v>
      </c>
    </row>
    <row r="1750" spans="1:5" x14ac:dyDescent="0.25">
      <c r="A1750" s="60">
        <v>205</v>
      </c>
      <c r="B1750" s="60" t="s">
        <v>119</v>
      </c>
      <c r="C1750" s="60">
        <v>298</v>
      </c>
      <c r="D1750" s="60">
        <v>0</v>
      </c>
      <c r="E1750" s="60">
        <f t="shared" si="27"/>
        <v>0</v>
      </c>
    </row>
    <row r="1751" spans="1:5" x14ac:dyDescent="0.25">
      <c r="A1751" s="60">
        <v>205</v>
      </c>
      <c r="B1751" s="60" t="s">
        <v>120</v>
      </c>
      <c r="C1751" s="60">
        <v>1</v>
      </c>
      <c r="D1751" s="60">
        <v>15348529</v>
      </c>
      <c r="E1751" s="60">
        <f t="shared" si="27"/>
        <v>15348529</v>
      </c>
    </row>
    <row r="1752" spans="1:5" x14ac:dyDescent="0.25">
      <c r="A1752" s="60">
        <v>205</v>
      </c>
      <c r="B1752" s="60" t="s">
        <v>120</v>
      </c>
      <c r="C1752" s="60">
        <v>10</v>
      </c>
      <c r="D1752" s="60">
        <v>851260</v>
      </c>
      <c r="E1752" s="60">
        <f t="shared" si="27"/>
        <v>851260</v>
      </c>
    </row>
    <row r="1753" spans="1:5" x14ac:dyDescent="0.25">
      <c r="A1753" s="60">
        <v>205</v>
      </c>
      <c r="B1753" s="60" t="s">
        <v>120</v>
      </c>
      <c r="C1753" s="60">
        <v>50</v>
      </c>
      <c r="D1753" s="60">
        <v>105880</v>
      </c>
      <c r="E1753" s="60">
        <f t="shared" si="27"/>
        <v>105880</v>
      </c>
    </row>
    <row r="1754" spans="1:5" x14ac:dyDescent="0.25">
      <c r="A1754" s="60">
        <v>205</v>
      </c>
      <c r="B1754" s="60" t="s">
        <v>120</v>
      </c>
      <c r="C1754" s="60">
        <v>70</v>
      </c>
      <c r="D1754" s="60">
        <v>0</v>
      </c>
      <c r="E1754" s="60">
        <f t="shared" si="27"/>
        <v>0</v>
      </c>
    </row>
    <row r="1755" spans="1:5" x14ac:dyDescent="0.25">
      <c r="A1755" s="60">
        <v>205</v>
      </c>
      <c r="B1755" s="60" t="s">
        <v>120</v>
      </c>
      <c r="C1755" s="60">
        <v>110</v>
      </c>
      <c r="D1755" s="60">
        <v>15009340</v>
      </c>
      <c r="E1755" s="60">
        <f t="shared" si="27"/>
        <v>-15009340</v>
      </c>
    </row>
    <row r="1756" spans="1:5" x14ac:dyDescent="0.25">
      <c r="A1756" s="60">
        <v>205</v>
      </c>
      <c r="B1756" s="60" t="s">
        <v>120</v>
      </c>
      <c r="C1756" s="60">
        <v>140</v>
      </c>
      <c r="D1756" s="60">
        <v>358200</v>
      </c>
      <c r="E1756" s="60">
        <f t="shared" si="27"/>
        <v>-358200</v>
      </c>
    </row>
    <row r="1757" spans="1:5" x14ac:dyDescent="0.25">
      <c r="A1757" s="60">
        <v>205</v>
      </c>
      <c r="B1757" s="60" t="s">
        <v>120</v>
      </c>
      <c r="C1757" s="60">
        <v>141</v>
      </c>
      <c r="D1757" s="60">
        <v>580540</v>
      </c>
      <c r="E1757" s="60">
        <f t="shared" si="27"/>
        <v>-580540</v>
      </c>
    </row>
    <row r="1758" spans="1:5" x14ac:dyDescent="0.25">
      <c r="A1758" s="60">
        <v>205</v>
      </c>
      <c r="B1758" s="60" t="s">
        <v>120</v>
      </c>
      <c r="C1758" s="60">
        <v>200</v>
      </c>
      <c r="D1758" s="60">
        <v>8513</v>
      </c>
      <c r="E1758" s="60">
        <f t="shared" si="27"/>
        <v>-8513</v>
      </c>
    </row>
    <row r="1759" spans="1:5" x14ac:dyDescent="0.25">
      <c r="A1759" s="60">
        <v>205</v>
      </c>
      <c r="B1759" s="60" t="s">
        <v>120</v>
      </c>
      <c r="C1759" s="60">
        <v>210</v>
      </c>
      <c r="D1759" s="60">
        <v>1059</v>
      </c>
      <c r="E1759" s="60">
        <f t="shared" si="27"/>
        <v>-1059</v>
      </c>
    </row>
    <row r="1760" spans="1:5" x14ac:dyDescent="0.25">
      <c r="A1760" s="60">
        <v>205</v>
      </c>
      <c r="B1760" s="60" t="s">
        <v>120</v>
      </c>
      <c r="C1760" s="60">
        <v>220</v>
      </c>
      <c r="D1760" s="60">
        <v>0</v>
      </c>
      <c r="E1760" s="60">
        <f t="shared" si="27"/>
        <v>0</v>
      </c>
    </row>
    <row r="1761" spans="1:5" x14ac:dyDescent="0.25">
      <c r="A1761" s="60">
        <v>205</v>
      </c>
      <c r="B1761" s="60" t="s">
        <v>120</v>
      </c>
      <c r="C1761" s="60">
        <v>230</v>
      </c>
      <c r="D1761" s="60">
        <v>0</v>
      </c>
      <c r="E1761" s="60">
        <f t="shared" si="27"/>
        <v>0</v>
      </c>
    </row>
    <row r="1762" spans="1:5" x14ac:dyDescent="0.25">
      <c r="A1762" s="60">
        <v>212</v>
      </c>
      <c r="B1762" s="60" t="s">
        <v>117</v>
      </c>
      <c r="C1762" s="60">
        <v>1</v>
      </c>
      <c r="D1762" s="60">
        <v>29805426</v>
      </c>
      <c r="E1762" s="60">
        <f t="shared" si="27"/>
        <v>29805426</v>
      </c>
    </row>
    <row r="1763" spans="1:5" x14ac:dyDescent="0.25">
      <c r="A1763" s="60">
        <v>212</v>
      </c>
      <c r="B1763" s="60" t="s">
        <v>117</v>
      </c>
      <c r="C1763" s="60">
        <v>10</v>
      </c>
      <c r="D1763" s="60">
        <v>35492760</v>
      </c>
      <c r="E1763" s="60">
        <f t="shared" si="27"/>
        <v>35492760</v>
      </c>
    </row>
    <row r="1764" spans="1:5" x14ac:dyDescent="0.25">
      <c r="A1764" s="60">
        <v>212</v>
      </c>
      <c r="B1764" s="60" t="s">
        <v>117</v>
      </c>
      <c r="C1764" s="60">
        <v>20</v>
      </c>
      <c r="D1764" s="60">
        <v>0</v>
      </c>
      <c r="E1764" s="60">
        <f t="shared" si="27"/>
        <v>0</v>
      </c>
    </row>
    <row r="1765" spans="1:5" x14ac:dyDescent="0.25">
      <c r="A1765" s="60">
        <v>212</v>
      </c>
      <c r="B1765" s="60" t="s">
        <v>117</v>
      </c>
      <c r="C1765" s="60">
        <v>50</v>
      </c>
      <c r="D1765" s="60">
        <v>2319200</v>
      </c>
      <c r="E1765" s="60">
        <f t="shared" si="27"/>
        <v>2319200</v>
      </c>
    </row>
    <row r="1766" spans="1:5" x14ac:dyDescent="0.25">
      <c r="A1766" s="60">
        <v>212</v>
      </c>
      <c r="B1766" s="60" t="s">
        <v>117</v>
      </c>
      <c r="C1766" s="60">
        <v>60</v>
      </c>
      <c r="D1766" s="60">
        <v>133520</v>
      </c>
      <c r="E1766" s="60">
        <f t="shared" si="27"/>
        <v>133520</v>
      </c>
    </row>
    <row r="1767" spans="1:5" x14ac:dyDescent="0.25">
      <c r="A1767" s="60">
        <v>212</v>
      </c>
      <c r="B1767" s="60" t="s">
        <v>117</v>
      </c>
      <c r="C1767" s="60">
        <v>70</v>
      </c>
      <c r="D1767" s="60">
        <v>0</v>
      </c>
      <c r="E1767" s="60">
        <f t="shared" si="27"/>
        <v>0</v>
      </c>
    </row>
    <row r="1768" spans="1:5" x14ac:dyDescent="0.25">
      <c r="A1768" s="60">
        <v>212</v>
      </c>
      <c r="B1768" s="60" t="s">
        <v>117</v>
      </c>
      <c r="C1768" s="60">
        <v>100</v>
      </c>
      <c r="D1768" s="60">
        <v>0</v>
      </c>
      <c r="E1768" s="60">
        <f t="shared" si="27"/>
        <v>0</v>
      </c>
    </row>
    <row r="1769" spans="1:5" x14ac:dyDescent="0.25">
      <c r="A1769" s="60">
        <v>212</v>
      </c>
      <c r="B1769" s="60" t="s">
        <v>117</v>
      </c>
      <c r="C1769" s="60">
        <v>110</v>
      </c>
      <c r="D1769" s="60">
        <v>19823920</v>
      </c>
      <c r="E1769" s="60">
        <f t="shared" si="27"/>
        <v>-19823920</v>
      </c>
    </row>
    <row r="1770" spans="1:5" x14ac:dyDescent="0.25">
      <c r="A1770" s="60">
        <v>212</v>
      </c>
      <c r="B1770" s="60" t="s">
        <v>117</v>
      </c>
      <c r="C1770" s="60">
        <v>120</v>
      </c>
      <c r="D1770" s="60">
        <v>295</v>
      </c>
      <c r="E1770" s="60">
        <f t="shared" si="27"/>
        <v>-295</v>
      </c>
    </row>
    <row r="1771" spans="1:5" x14ac:dyDescent="0.25">
      <c r="A1771" s="60">
        <v>212</v>
      </c>
      <c r="B1771" s="60" t="s">
        <v>117</v>
      </c>
      <c r="C1771" s="60">
        <v>130</v>
      </c>
      <c r="D1771" s="60">
        <v>2645</v>
      </c>
      <c r="E1771" s="60">
        <f t="shared" si="27"/>
        <v>-2645</v>
      </c>
    </row>
    <row r="1772" spans="1:5" x14ac:dyDescent="0.25">
      <c r="A1772" s="60">
        <v>212</v>
      </c>
      <c r="B1772" s="60" t="s">
        <v>117</v>
      </c>
      <c r="C1772" s="60">
        <v>140</v>
      </c>
      <c r="D1772" s="60">
        <v>22666520</v>
      </c>
      <c r="E1772" s="60">
        <f t="shared" si="27"/>
        <v>-22666520</v>
      </c>
    </row>
    <row r="1773" spans="1:5" x14ac:dyDescent="0.25">
      <c r="A1773" s="60">
        <v>212</v>
      </c>
      <c r="B1773" s="60" t="s">
        <v>117</v>
      </c>
      <c r="C1773" s="60">
        <v>200</v>
      </c>
      <c r="D1773" s="60">
        <v>174340</v>
      </c>
      <c r="E1773" s="60">
        <f t="shared" si="27"/>
        <v>-174340</v>
      </c>
    </row>
    <row r="1774" spans="1:5" x14ac:dyDescent="0.25">
      <c r="A1774" s="60">
        <v>212</v>
      </c>
      <c r="B1774" s="60" t="s">
        <v>117</v>
      </c>
      <c r="C1774" s="60">
        <v>210</v>
      </c>
      <c r="D1774" s="60">
        <v>226486</v>
      </c>
      <c r="E1774" s="60">
        <f t="shared" si="27"/>
        <v>-226486</v>
      </c>
    </row>
    <row r="1775" spans="1:5" x14ac:dyDescent="0.25">
      <c r="A1775" s="60">
        <v>212</v>
      </c>
      <c r="B1775" s="60" t="s">
        <v>117</v>
      </c>
      <c r="C1775" s="60">
        <v>220</v>
      </c>
      <c r="D1775" s="60">
        <v>0</v>
      </c>
      <c r="E1775" s="60">
        <f t="shared" si="27"/>
        <v>0</v>
      </c>
    </row>
    <row r="1776" spans="1:5" x14ac:dyDescent="0.25">
      <c r="A1776" s="60">
        <v>212</v>
      </c>
      <c r="B1776" s="60" t="s">
        <v>117</v>
      </c>
      <c r="C1776" s="60">
        <v>230</v>
      </c>
      <c r="D1776" s="60">
        <v>0</v>
      </c>
      <c r="E1776" s="60">
        <f t="shared" si="27"/>
        <v>0</v>
      </c>
    </row>
    <row r="1777" spans="1:5" x14ac:dyDescent="0.25">
      <c r="A1777" s="60">
        <v>212</v>
      </c>
      <c r="B1777" s="60" t="s">
        <v>117</v>
      </c>
      <c r="C1777" s="60">
        <v>298</v>
      </c>
      <c r="D1777" s="60">
        <v>0</v>
      </c>
      <c r="E1777" s="60">
        <f t="shared" si="27"/>
        <v>0</v>
      </c>
    </row>
    <row r="1778" spans="1:5" x14ac:dyDescent="0.25">
      <c r="A1778" s="60">
        <v>212</v>
      </c>
      <c r="B1778" s="60" t="s">
        <v>118</v>
      </c>
      <c r="C1778" s="60">
        <v>1</v>
      </c>
      <c r="D1778" s="60">
        <v>7728609</v>
      </c>
      <c r="E1778" s="60">
        <f t="shared" si="27"/>
        <v>7728609</v>
      </c>
    </row>
    <row r="1779" spans="1:5" x14ac:dyDescent="0.25">
      <c r="A1779" s="60">
        <v>212</v>
      </c>
      <c r="B1779" s="60" t="s">
        <v>118</v>
      </c>
      <c r="C1779" s="60">
        <v>10</v>
      </c>
      <c r="D1779" s="60">
        <v>13965000</v>
      </c>
      <c r="E1779" s="60">
        <f t="shared" si="27"/>
        <v>13965000</v>
      </c>
    </row>
    <row r="1780" spans="1:5" x14ac:dyDescent="0.25">
      <c r="A1780" s="60">
        <v>212</v>
      </c>
      <c r="B1780" s="60" t="s">
        <v>118</v>
      </c>
      <c r="C1780" s="60">
        <v>20</v>
      </c>
      <c r="D1780" s="60">
        <v>0</v>
      </c>
      <c r="E1780" s="60">
        <f t="shared" si="27"/>
        <v>0</v>
      </c>
    </row>
    <row r="1781" spans="1:5" x14ac:dyDescent="0.25">
      <c r="A1781" s="60">
        <v>212</v>
      </c>
      <c r="B1781" s="60" t="s">
        <v>118</v>
      </c>
      <c r="C1781" s="60">
        <v>50</v>
      </c>
      <c r="D1781" s="60">
        <v>246720</v>
      </c>
      <c r="E1781" s="60">
        <f t="shared" si="27"/>
        <v>246720</v>
      </c>
    </row>
    <row r="1782" spans="1:5" x14ac:dyDescent="0.25">
      <c r="A1782" s="60">
        <v>212</v>
      </c>
      <c r="B1782" s="60" t="s">
        <v>118</v>
      </c>
      <c r="C1782" s="60">
        <v>60</v>
      </c>
      <c r="D1782" s="60">
        <v>0</v>
      </c>
      <c r="E1782" s="60">
        <f t="shared" si="27"/>
        <v>0</v>
      </c>
    </row>
    <row r="1783" spans="1:5" x14ac:dyDescent="0.25">
      <c r="A1783" s="60">
        <v>212</v>
      </c>
      <c r="B1783" s="60" t="s">
        <v>118</v>
      </c>
      <c r="C1783" s="60">
        <v>70</v>
      </c>
      <c r="D1783" s="60">
        <v>0</v>
      </c>
      <c r="E1783" s="60">
        <f t="shared" si="27"/>
        <v>0</v>
      </c>
    </row>
    <row r="1784" spans="1:5" x14ac:dyDescent="0.25">
      <c r="A1784" s="60">
        <v>212</v>
      </c>
      <c r="B1784" s="60" t="s">
        <v>118</v>
      </c>
      <c r="C1784" s="60">
        <v>110</v>
      </c>
      <c r="D1784" s="60">
        <v>0</v>
      </c>
      <c r="E1784" s="60">
        <f t="shared" si="27"/>
        <v>0</v>
      </c>
    </row>
    <row r="1785" spans="1:5" x14ac:dyDescent="0.25">
      <c r="A1785" s="60">
        <v>212</v>
      </c>
      <c r="B1785" s="60" t="s">
        <v>118</v>
      </c>
      <c r="C1785" s="60">
        <v>120</v>
      </c>
      <c r="D1785" s="60">
        <v>0</v>
      </c>
      <c r="E1785" s="60">
        <f t="shared" si="27"/>
        <v>0</v>
      </c>
    </row>
    <row r="1786" spans="1:5" x14ac:dyDescent="0.25">
      <c r="A1786" s="60">
        <v>212</v>
      </c>
      <c r="B1786" s="60" t="s">
        <v>118</v>
      </c>
      <c r="C1786" s="60">
        <v>130</v>
      </c>
      <c r="D1786" s="60">
        <v>0</v>
      </c>
      <c r="E1786" s="60">
        <f t="shared" si="27"/>
        <v>0</v>
      </c>
    </row>
    <row r="1787" spans="1:5" x14ac:dyDescent="0.25">
      <c r="A1787" s="60">
        <v>212</v>
      </c>
      <c r="B1787" s="60" t="s">
        <v>118</v>
      </c>
      <c r="C1787" s="60">
        <v>140</v>
      </c>
      <c r="D1787" s="60">
        <v>0</v>
      </c>
      <c r="E1787" s="60">
        <f t="shared" si="27"/>
        <v>0</v>
      </c>
    </row>
    <row r="1788" spans="1:5" x14ac:dyDescent="0.25">
      <c r="A1788" s="60">
        <v>212</v>
      </c>
      <c r="B1788" s="60" t="s">
        <v>118</v>
      </c>
      <c r="C1788" s="60">
        <v>141</v>
      </c>
      <c r="D1788" s="60">
        <v>21154120</v>
      </c>
      <c r="E1788" s="60">
        <f t="shared" si="27"/>
        <v>-21154120</v>
      </c>
    </row>
    <row r="1789" spans="1:5" x14ac:dyDescent="0.25">
      <c r="A1789" s="60">
        <v>212</v>
      </c>
      <c r="B1789" s="60" t="s">
        <v>118</v>
      </c>
      <c r="C1789" s="60">
        <v>150</v>
      </c>
      <c r="D1789" s="60">
        <v>0</v>
      </c>
      <c r="E1789" s="60">
        <f t="shared" si="27"/>
        <v>0</v>
      </c>
    </row>
    <row r="1790" spans="1:5" x14ac:dyDescent="0.25">
      <c r="A1790" s="60">
        <v>212</v>
      </c>
      <c r="B1790" s="60" t="s">
        <v>118</v>
      </c>
      <c r="C1790" s="60">
        <v>200</v>
      </c>
      <c r="D1790" s="60">
        <v>69163</v>
      </c>
      <c r="E1790" s="60">
        <f t="shared" si="27"/>
        <v>-69163</v>
      </c>
    </row>
    <row r="1791" spans="1:5" x14ac:dyDescent="0.25">
      <c r="A1791" s="60">
        <v>212</v>
      </c>
      <c r="B1791" s="60" t="s">
        <v>118</v>
      </c>
      <c r="C1791" s="60">
        <v>210</v>
      </c>
      <c r="D1791" s="60">
        <v>0</v>
      </c>
      <c r="E1791" s="60">
        <f t="shared" si="27"/>
        <v>0</v>
      </c>
    </row>
    <row r="1792" spans="1:5" x14ac:dyDescent="0.25">
      <c r="A1792" s="60">
        <v>212</v>
      </c>
      <c r="B1792" s="60" t="s">
        <v>118</v>
      </c>
      <c r="C1792" s="60">
        <v>220</v>
      </c>
      <c r="D1792" s="60">
        <v>418136</v>
      </c>
      <c r="E1792" s="60">
        <f t="shared" si="27"/>
        <v>-418136</v>
      </c>
    </row>
    <row r="1793" spans="1:5" x14ac:dyDescent="0.25">
      <c r="A1793" s="60">
        <v>212</v>
      </c>
      <c r="B1793" s="60" t="s">
        <v>118</v>
      </c>
      <c r="C1793" s="60">
        <v>230</v>
      </c>
      <c r="D1793" s="60">
        <v>298910</v>
      </c>
      <c r="E1793" s="60">
        <f t="shared" si="27"/>
        <v>-298910</v>
      </c>
    </row>
    <row r="1794" spans="1:5" x14ac:dyDescent="0.25">
      <c r="A1794" s="60">
        <v>212</v>
      </c>
      <c r="B1794" s="60" t="s">
        <v>118</v>
      </c>
      <c r="C1794" s="60">
        <v>298</v>
      </c>
      <c r="D1794" s="60">
        <v>0</v>
      </c>
      <c r="E1794" s="60">
        <f t="shared" ref="E1794:E1857" si="28">IF(C1794&lt;100,D1794,D1794*-1)</f>
        <v>0</v>
      </c>
    </row>
    <row r="1795" spans="1:5" x14ac:dyDescent="0.25">
      <c r="A1795" s="60">
        <v>212</v>
      </c>
      <c r="B1795" s="60" t="s">
        <v>119</v>
      </c>
      <c r="C1795" s="60">
        <v>1</v>
      </c>
      <c r="D1795" s="60">
        <v>10570315</v>
      </c>
      <c r="E1795" s="60">
        <f t="shared" si="28"/>
        <v>10570315</v>
      </c>
    </row>
    <row r="1796" spans="1:5" x14ac:dyDescent="0.25">
      <c r="A1796" s="60">
        <v>212</v>
      </c>
      <c r="B1796" s="60" t="s">
        <v>119</v>
      </c>
      <c r="C1796" s="60">
        <v>10</v>
      </c>
      <c r="D1796" s="60">
        <v>34140162</v>
      </c>
      <c r="E1796" s="60">
        <f t="shared" si="28"/>
        <v>34140162</v>
      </c>
    </row>
    <row r="1797" spans="1:5" x14ac:dyDescent="0.25">
      <c r="A1797" s="60">
        <v>212</v>
      </c>
      <c r="B1797" s="60" t="s">
        <v>119</v>
      </c>
      <c r="C1797" s="60">
        <v>20</v>
      </c>
      <c r="D1797" s="60">
        <v>0</v>
      </c>
      <c r="E1797" s="60">
        <f t="shared" si="28"/>
        <v>0</v>
      </c>
    </row>
    <row r="1798" spans="1:5" x14ac:dyDescent="0.25">
      <c r="A1798" s="60">
        <v>212</v>
      </c>
      <c r="B1798" s="60" t="s">
        <v>119</v>
      </c>
      <c r="C1798" s="60">
        <v>50</v>
      </c>
      <c r="D1798" s="60">
        <v>310640</v>
      </c>
      <c r="E1798" s="60">
        <f t="shared" si="28"/>
        <v>310640</v>
      </c>
    </row>
    <row r="1799" spans="1:5" x14ac:dyDescent="0.25">
      <c r="A1799" s="60">
        <v>212</v>
      </c>
      <c r="B1799" s="60" t="s">
        <v>119</v>
      </c>
      <c r="C1799" s="60">
        <v>60</v>
      </c>
      <c r="D1799" s="60">
        <v>0</v>
      </c>
      <c r="E1799" s="60">
        <f t="shared" si="28"/>
        <v>0</v>
      </c>
    </row>
    <row r="1800" spans="1:5" x14ac:dyDescent="0.25">
      <c r="A1800" s="60">
        <v>212</v>
      </c>
      <c r="B1800" s="60" t="s">
        <v>119</v>
      </c>
      <c r="C1800" s="60">
        <v>70</v>
      </c>
      <c r="D1800" s="60">
        <v>0</v>
      </c>
      <c r="E1800" s="60">
        <f t="shared" si="28"/>
        <v>0</v>
      </c>
    </row>
    <row r="1801" spans="1:5" x14ac:dyDescent="0.25">
      <c r="A1801" s="60">
        <v>212</v>
      </c>
      <c r="B1801" s="60" t="s">
        <v>119</v>
      </c>
      <c r="C1801" s="60">
        <v>100</v>
      </c>
      <c r="D1801" s="60">
        <v>0</v>
      </c>
      <c r="E1801" s="60">
        <f t="shared" si="28"/>
        <v>0</v>
      </c>
    </row>
    <row r="1802" spans="1:5" x14ac:dyDescent="0.25">
      <c r="A1802" s="60">
        <v>212</v>
      </c>
      <c r="B1802" s="60" t="s">
        <v>119</v>
      </c>
      <c r="C1802" s="60">
        <v>110</v>
      </c>
      <c r="D1802" s="60">
        <v>18020780</v>
      </c>
      <c r="E1802" s="60">
        <f t="shared" si="28"/>
        <v>-18020780</v>
      </c>
    </row>
    <row r="1803" spans="1:5" x14ac:dyDescent="0.25">
      <c r="A1803" s="60">
        <v>212</v>
      </c>
      <c r="B1803" s="60" t="s">
        <v>119</v>
      </c>
      <c r="C1803" s="60">
        <v>120</v>
      </c>
      <c r="D1803" s="60">
        <v>1900</v>
      </c>
      <c r="E1803" s="60">
        <f t="shared" si="28"/>
        <v>-1900</v>
      </c>
    </row>
    <row r="1804" spans="1:5" x14ac:dyDescent="0.25">
      <c r="A1804" s="60">
        <v>212</v>
      </c>
      <c r="B1804" s="60" t="s">
        <v>119</v>
      </c>
      <c r="C1804" s="60">
        <v>130</v>
      </c>
      <c r="D1804" s="60">
        <v>0</v>
      </c>
      <c r="E1804" s="60">
        <f t="shared" si="28"/>
        <v>0</v>
      </c>
    </row>
    <row r="1805" spans="1:5" x14ac:dyDescent="0.25">
      <c r="A1805" s="60">
        <v>212</v>
      </c>
      <c r="B1805" s="60" t="s">
        <v>119</v>
      </c>
      <c r="C1805" s="60">
        <v>140</v>
      </c>
      <c r="D1805" s="60">
        <v>13850500</v>
      </c>
      <c r="E1805" s="60">
        <f t="shared" si="28"/>
        <v>-13850500</v>
      </c>
    </row>
    <row r="1806" spans="1:5" x14ac:dyDescent="0.25">
      <c r="A1806" s="60">
        <v>212</v>
      </c>
      <c r="B1806" s="60" t="s">
        <v>119</v>
      </c>
      <c r="C1806" s="60">
        <v>141</v>
      </c>
      <c r="D1806" s="60">
        <v>825780</v>
      </c>
      <c r="E1806" s="60">
        <f t="shared" si="28"/>
        <v>-825780</v>
      </c>
    </row>
    <row r="1807" spans="1:5" x14ac:dyDescent="0.25">
      <c r="A1807" s="60">
        <v>212</v>
      </c>
      <c r="B1807" s="60" t="s">
        <v>119</v>
      </c>
      <c r="C1807" s="60">
        <v>200</v>
      </c>
      <c r="D1807" s="60">
        <v>169493</v>
      </c>
      <c r="E1807" s="60">
        <f t="shared" si="28"/>
        <v>-169493</v>
      </c>
    </row>
    <row r="1808" spans="1:5" x14ac:dyDescent="0.25">
      <c r="A1808" s="60">
        <v>212</v>
      </c>
      <c r="B1808" s="60" t="s">
        <v>119</v>
      </c>
      <c r="C1808" s="60">
        <v>210</v>
      </c>
      <c r="D1808" s="60">
        <v>38305</v>
      </c>
      <c r="E1808" s="60">
        <f t="shared" si="28"/>
        <v>-38305</v>
      </c>
    </row>
    <row r="1809" spans="1:5" x14ac:dyDescent="0.25">
      <c r="A1809" s="60">
        <v>212</v>
      </c>
      <c r="B1809" s="60" t="s">
        <v>119</v>
      </c>
      <c r="C1809" s="60">
        <v>220</v>
      </c>
      <c r="D1809" s="60">
        <v>0</v>
      </c>
      <c r="E1809" s="60">
        <f t="shared" si="28"/>
        <v>0</v>
      </c>
    </row>
    <row r="1810" spans="1:5" x14ac:dyDescent="0.25">
      <c r="A1810" s="60">
        <v>212</v>
      </c>
      <c r="B1810" s="60" t="s">
        <v>119</v>
      </c>
      <c r="C1810" s="60">
        <v>230</v>
      </c>
      <c r="D1810" s="60">
        <v>111101</v>
      </c>
      <c r="E1810" s="60">
        <f t="shared" si="28"/>
        <v>-111101</v>
      </c>
    </row>
    <row r="1811" spans="1:5" x14ac:dyDescent="0.25">
      <c r="A1811" s="60">
        <v>212</v>
      </c>
      <c r="B1811" s="60" t="s">
        <v>119</v>
      </c>
      <c r="C1811" s="60">
        <v>240</v>
      </c>
      <c r="D1811" s="60">
        <v>0</v>
      </c>
      <c r="E1811" s="60">
        <f t="shared" si="28"/>
        <v>0</v>
      </c>
    </row>
    <row r="1812" spans="1:5" x14ac:dyDescent="0.25">
      <c r="A1812" s="60">
        <v>212</v>
      </c>
      <c r="B1812" s="60" t="s">
        <v>119</v>
      </c>
      <c r="C1812" s="60">
        <v>270</v>
      </c>
      <c r="D1812" s="60">
        <v>0</v>
      </c>
      <c r="E1812" s="60">
        <f t="shared" si="28"/>
        <v>0</v>
      </c>
    </row>
    <row r="1813" spans="1:5" x14ac:dyDescent="0.25">
      <c r="A1813" s="60">
        <v>212</v>
      </c>
      <c r="B1813" s="60" t="s">
        <v>119</v>
      </c>
      <c r="C1813" s="60">
        <v>298</v>
      </c>
      <c r="D1813" s="60">
        <v>0</v>
      </c>
      <c r="E1813" s="60">
        <f t="shared" si="28"/>
        <v>0</v>
      </c>
    </row>
    <row r="1814" spans="1:5" x14ac:dyDescent="0.25">
      <c r="A1814" s="60">
        <v>212</v>
      </c>
      <c r="B1814" s="60" t="s">
        <v>120</v>
      </c>
      <c r="C1814" s="60">
        <v>1</v>
      </c>
      <c r="D1814" s="60">
        <v>6149915</v>
      </c>
      <c r="E1814" s="60">
        <f t="shared" si="28"/>
        <v>6149915</v>
      </c>
    </row>
    <row r="1815" spans="1:5" x14ac:dyDescent="0.25">
      <c r="A1815" s="60">
        <v>212</v>
      </c>
      <c r="B1815" s="60" t="s">
        <v>120</v>
      </c>
      <c r="C1815" s="60">
        <v>10</v>
      </c>
      <c r="D1815" s="60">
        <v>31133500</v>
      </c>
      <c r="E1815" s="60">
        <f t="shared" si="28"/>
        <v>31133500</v>
      </c>
    </row>
    <row r="1816" spans="1:5" x14ac:dyDescent="0.25">
      <c r="A1816" s="60">
        <v>212</v>
      </c>
      <c r="B1816" s="60" t="s">
        <v>120</v>
      </c>
      <c r="C1816" s="60">
        <v>20</v>
      </c>
      <c r="D1816" s="60">
        <v>0</v>
      </c>
      <c r="E1816" s="60">
        <f t="shared" si="28"/>
        <v>0</v>
      </c>
    </row>
    <row r="1817" spans="1:5" x14ac:dyDescent="0.25">
      <c r="A1817" s="60">
        <v>212</v>
      </c>
      <c r="B1817" s="60" t="s">
        <v>120</v>
      </c>
      <c r="C1817" s="60">
        <v>50</v>
      </c>
      <c r="D1817" s="60">
        <v>24229420</v>
      </c>
      <c r="E1817" s="60">
        <f t="shared" si="28"/>
        <v>24229420</v>
      </c>
    </row>
    <row r="1818" spans="1:5" x14ac:dyDescent="0.25">
      <c r="A1818" s="60">
        <v>212</v>
      </c>
      <c r="B1818" s="60" t="s">
        <v>120</v>
      </c>
      <c r="C1818" s="60">
        <v>60</v>
      </c>
      <c r="D1818" s="60">
        <v>0</v>
      </c>
      <c r="E1818" s="60">
        <f t="shared" si="28"/>
        <v>0</v>
      </c>
    </row>
    <row r="1819" spans="1:5" x14ac:dyDescent="0.25">
      <c r="A1819" s="60">
        <v>212</v>
      </c>
      <c r="B1819" s="60" t="s">
        <v>120</v>
      </c>
      <c r="C1819" s="60">
        <v>70</v>
      </c>
      <c r="D1819" s="60">
        <v>1325963</v>
      </c>
      <c r="E1819" s="60">
        <f t="shared" si="28"/>
        <v>1325963</v>
      </c>
    </row>
    <row r="1820" spans="1:5" x14ac:dyDescent="0.25">
      <c r="A1820" s="60">
        <v>212</v>
      </c>
      <c r="B1820" s="60" t="s">
        <v>120</v>
      </c>
      <c r="C1820" s="60">
        <v>100</v>
      </c>
      <c r="D1820" s="60">
        <v>0</v>
      </c>
      <c r="E1820" s="60">
        <f t="shared" si="28"/>
        <v>0</v>
      </c>
    </row>
    <row r="1821" spans="1:5" x14ac:dyDescent="0.25">
      <c r="A1821" s="60">
        <v>212</v>
      </c>
      <c r="B1821" s="60" t="s">
        <v>120</v>
      </c>
      <c r="C1821" s="60">
        <v>110</v>
      </c>
      <c r="D1821" s="60">
        <v>1835460</v>
      </c>
      <c r="E1821" s="60">
        <f t="shared" si="28"/>
        <v>-1835460</v>
      </c>
    </row>
    <row r="1822" spans="1:5" x14ac:dyDescent="0.25">
      <c r="A1822" s="60">
        <v>212</v>
      </c>
      <c r="B1822" s="60" t="s">
        <v>120</v>
      </c>
      <c r="C1822" s="60">
        <v>120</v>
      </c>
      <c r="D1822" s="60">
        <v>41860</v>
      </c>
      <c r="E1822" s="60">
        <f t="shared" si="28"/>
        <v>-41860</v>
      </c>
    </row>
    <row r="1823" spans="1:5" x14ac:dyDescent="0.25">
      <c r="A1823" s="60">
        <v>212</v>
      </c>
      <c r="B1823" s="60" t="s">
        <v>120</v>
      </c>
      <c r="C1823" s="60">
        <v>130</v>
      </c>
      <c r="D1823" s="60">
        <v>402520</v>
      </c>
      <c r="E1823" s="60">
        <f t="shared" si="28"/>
        <v>-402520</v>
      </c>
    </row>
    <row r="1824" spans="1:5" x14ac:dyDescent="0.25">
      <c r="A1824" s="60">
        <v>212</v>
      </c>
      <c r="B1824" s="60" t="s">
        <v>120</v>
      </c>
      <c r="C1824" s="60">
        <v>140</v>
      </c>
      <c r="D1824" s="60">
        <v>19817980</v>
      </c>
      <c r="E1824" s="60">
        <f t="shared" si="28"/>
        <v>-19817980</v>
      </c>
    </row>
    <row r="1825" spans="1:5" x14ac:dyDescent="0.25">
      <c r="A1825" s="60">
        <v>212</v>
      </c>
      <c r="B1825" s="60" t="s">
        <v>120</v>
      </c>
      <c r="C1825" s="60">
        <v>141</v>
      </c>
      <c r="D1825" s="60">
        <v>33607280</v>
      </c>
      <c r="E1825" s="60">
        <f t="shared" si="28"/>
        <v>-33607280</v>
      </c>
    </row>
    <row r="1826" spans="1:5" x14ac:dyDescent="0.25">
      <c r="A1826" s="60">
        <v>212</v>
      </c>
      <c r="B1826" s="60" t="s">
        <v>120</v>
      </c>
      <c r="C1826" s="60">
        <v>150</v>
      </c>
      <c r="D1826" s="60">
        <v>0</v>
      </c>
      <c r="E1826" s="60">
        <f t="shared" si="28"/>
        <v>0</v>
      </c>
    </row>
    <row r="1827" spans="1:5" x14ac:dyDescent="0.25">
      <c r="A1827" s="60">
        <v>212</v>
      </c>
      <c r="B1827" s="60" t="s">
        <v>120</v>
      </c>
      <c r="C1827" s="60">
        <v>200</v>
      </c>
      <c r="D1827" s="60">
        <v>309230</v>
      </c>
      <c r="E1827" s="60">
        <f t="shared" si="28"/>
        <v>-309230</v>
      </c>
    </row>
    <row r="1828" spans="1:5" x14ac:dyDescent="0.25">
      <c r="A1828" s="60">
        <v>212</v>
      </c>
      <c r="B1828" s="60" t="s">
        <v>120</v>
      </c>
      <c r="C1828" s="60">
        <v>210</v>
      </c>
      <c r="D1828" s="60">
        <v>46717</v>
      </c>
      <c r="E1828" s="60">
        <f t="shared" si="28"/>
        <v>-46717</v>
      </c>
    </row>
    <row r="1829" spans="1:5" x14ac:dyDescent="0.25">
      <c r="A1829" s="60">
        <v>212</v>
      </c>
      <c r="B1829" s="60" t="s">
        <v>120</v>
      </c>
      <c r="C1829" s="60">
        <v>220</v>
      </c>
      <c r="D1829" s="60">
        <v>0</v>
      </c>
      <c r="E1829" s="60">
        <f t="shared" si="28"/>
        <v>0</v>
      </c>
    </row>
    <row r="1830" spans="1:5" x14ac:dyDescent="0.25">
      <c r="A1830" s="60">
        <v>212</v>
      </c>
      <c r="B1830" s="60" t="s">
        <v>120</v>
      </c>
      <c r="C1830" s="60">
        <v>230</v>
      </c>
      <c r="D1830" s="60">
        <v>116356</v>
      </c>
      <c r="E1830" s="60">
        <f t="shared" si="28"/>
        <v>-116356</v>
      </c>
    </row>
    <row r="1831" spans="1:5" x14ac:dyDescent="0.25">
      <c r="A1831" s="60">
        <v>212</v>
      </c>
      <c r="B1831" s="60" t="s">
        <v>120</v>
      </c>
      <c r="C1831" s="60">
        <v>298</v>
      </c>
      <c r="D1831" s="60">
        <v>0</v>
      </c>
      <c r="E1831" s="60">
        <f t="shared" si="28"/>
        <v>0</v>
      </c>
    </row>
    <row r="1832" spans="1:5" x14ac:dyDescent="0.25">
      <c r="A1832" s="60">
        <v>212</v>
      </c>
      <c r="B1832" s="60" t="s">
        <v>121</v>
      </c>
      <c r="C1832" s="60">
        <v>1</v>
      </c>
      <c r="D1832" s="60">
        <v>0</v>
      </c>
      <c r="E1832" s="60">
        <f t="shared" si="28"/>
        <v>0</v>
      </c>
    </row>
    <row r="1833" spans="1:5" x14ac:dyDescent="0.25">
      <c r="A1833" s="60">
        <v>212</v>
      </c>
      <c r="B1833" s="60" t="s">
        <v>121</v>
      </c>
      <c r="C1833" s="60">
        <v>10</v>
      </c>
      <c r="D1833" s="60">
        <v>0</v>
      </c>
      <c r="E1833" s="60">
        <f t="shared" si="28"/>
        <v>0</v>
      </c>
    </row>
    <row r="1834" spans="1:5" x14ac:dyDescent="0.25">
      <c r="A1834" s="60">
        <v>212</v>
      </c>
      <c r="B1834" s="60" t="s">
        <v>121</v>
      </c>
      <c r="C1834" s="60">
        <v>50</v>
      </c>
      <c r="D1834" s="60">
        <v>0</v>
      </c>
      <c r="E1834" s="60">
        <f t="shared" si="28"/>
        <v>0</v>
      </c>
    </row>
    <row r="1835" spans="1:5" x14ac:dyDescent="0.25">
      <c r="A1835" s="60">
        <v>212</v>
      </c>
      <c r="B1835" s="60" t="s">
        <v>121</v>
      </c>
      <c r="C1835" s="60">
        <v>70</v>
      </c>
      <c r="D1835" s="60">
        <v>0</v>
      </c>
      <c r="E1835" s="60">
        <f t="shared" si="28"/>
        <v>0</v>
      </c>
    </row>
    <row r="1836" spans="1:5" x14ac:dyDescent="0.25">
      <c r="A1836" s="60">
        <v>212</v>
      </c>
      <c r="B1836" s="60" t="s">
        <v>121</v>
      </c>
      <c r="C1836" s="60">
        <v>110</v>
      </c>
      <c r="D1836" s="60">
        <v>0</v>
      </c>
      <c r="E1836" s="60">
        <f t="shared" si="28"/>
        <v>0</v>
      </c>
    </row>
    <row r="1837" spans="1:5" x14ac:dyDescent="0.25">
      <c r="A1837" s="60">
        <v>212</v>
      </c>
      <c r="B1837" s="60" t="s">
        <v>121</v>
      </c>
      <c r="C1837" s="60">
        <v>120</v>
      </c>
      <c r="D1837" s="60">
        <v>0</v>
      </c>
      <c r="E1837" s="60">
        <f t="shared" si="28"/>
        <v>0</v>
      </c>
    </row>
    <row r="1838" spans="1:5" x14ac:dyDescent="0.25">
      <c r="A1838" s="60">
        <v>212</v>
      </c>
      <c r="B1838" s="60" t="s">
        <v>121</v>
      </c>
      <c r="C1838" s="60">
        <v>140</v>
      </c>
      <c r="D1838" s="60">
        <v>0</v>
      </c>
      <c r="E1838" s="60">
        <f t="shared" si="28"/>
        <v>0</v>
      </c>
    </row>
    <row r="1839" spans="1:5" x14ac:dyDescent="0.25">
      <c r="A1839" s="60">
        <v>212</v>
      </c>
      <c r="B1839" s="60" t="s">
        <v>121</v>
      </c>
      <c r="C1839" s="60">
        <v>210</v>
      </c>
      <c r="D1839" s="60">
        <v>0</v>
      </c>
      <c r="E1839" s="60">
        <f t="shared" si="28"/>
        <v>0</v>
      </c>
    </row>
    <row r="1840" spans="1:5" x14ac:dyDescent="0.25">
      <c r="A1840" s="60">
        <v>212</v>
      </c>
      <c r="B1840" s="60" t="s">
        <v>121</v>
      </c>
      <c r="C1840" s="60">
        <v>230</v>
      </c>
      <c r="D1840" s="60">
        <v>0</v>
      </c>
      <c r="E1840" s="60">
        <f t="shared" si="28"/>
        <v>0</v>
      </c>
    </row>
    <row r="1841" spans="1:5" x14ac:dyDescent="0.25">
      <c r="A1841" s="60">
        <v>215</v>
      </c>
      <c r="B1841" s="60" t="s">
        <v>117</v>
      </c>
      <c r="C1841" s="60">
        <v>1</v>
      </c>
      <c r="D1841" s="60">
        <v>0</v>
      </c>
      <c r="E1841" s="60">
        <f t="shared" si="28"/>
        <v>0</v>
      </c>
    </row>
    <row r="1842" spans="1:5" x14ac:dyDescent="0.25">
      <c r="A1842" s="60">
        <v>215</v>
      </c>
      <c r="B1842" s="60" t="s">
        <v>117</v>
      </c>
      <c r="C1842" s="60">
        <v>10</v>
      </c>
      <c r="D1842" s="60">
        <v>428460</v>
      </c>
      <c r="E1842" s="60">
        <f t="shared" si="28"/>
        <v>428460</v>
      </c>
    </row>
    <row r="1843" spans="1:5" x14ac:dyDescent="0.25">
      <c r="A1843" s="60">
        <v>215</v>
      </c>
      <c r="B1843" s="60" t="s">
        <v>117</v>
      </c>
      <c r="C1843" s="60">
        <v>20</v>
      </c>
      <c r="D1843" s="60">
        <v>0</v>
      </c>
      <c r="E1843" s="60">
        <f t="shared" si="28"/>
        <v>0</v>
      </c>
    </row>
    <row r="1844" spans="1:5" x14ac:dyDescent="0.25">
      <c r="A1844" s="60">
        <v>215</v>
      </c>
      <c r="B1844" s="60" t="s">
        <v>117</v>
      </c>
      <c r="C1844" s="60">
        <v>50</v>
      </c>
      <c r="D1844" s="60">
        <v>58962980</v>
      </c>
      <c r="E1844" s="60">
        <f t="shared" si="28"/>
        <v>58962980</v>
      </c>
    </row>
    <row r="1845" spans="1:5" x14ac:dyDescent="0.25">
      <c r="A1845" s="60">
        <v>215</v>
      </c>
      <c r="B1845" s="60" t="s">
        <v>117</v>
      </c>
      <c r="C1845" s="60">
        <v>70</v>
      </c>
      <c r="D1845" s="60">
        <v>0</v>
      </c>
      <c r="E1845" s="60">
        <f t="shared" si="28"/>
        <v>0</v>
      </c>
    </row>
    <row r="1846" spans="1:5" x14ac:dyDescent="0.25">
      <c r="A1846" s="60">
        <v>215</v>
      </c>
      <c r="B1846" s="60" t="s">
        <v>117</v>
      </c>
      <c r="C1846" s="60">
        <v>110</v>
      </c>
      <c r="D1846" s="60">
        <v>0</v>
      </c>
      <c r="E1846" s="60">
        <f t="shared" si="28"/>
        <v>0</v>
      </c>
    </row>
    <row r="1847" spans="1:5" x14ac:dyDescent="0.25">
      <c r="A1847" s="60">
        <v>215</v>
      </c>
      <c r="B1847" s="60" t="s">
        <v>117</v>
      </c>
      <c r="C1847" s="60">
        <v>140</v>
      </c>
      <c r="D1847" s="60">
        <v>0</v>
      </c>
      <c r="E1847" s="60">
        <f t="shared" si="28"/>
        <v>0</v>
      </c>
    </row>
    <row r="1848" spans="1:5" x14ac:dyDescent="0.25">
      <c r="A1848" s="60">
        <v>215</v>
      </c>
      <c r="B1848" s="60" t="s">
        <v>117</v>
      </c>
      <c r="C1848" s="60">
        <v>200</v>
      </c>
      <c r="D1848" s="60">
        <v>2143</v>
      </c>
      <c r="E1848" s="60">
        <f t="shared" si="28"/>
        <v>-2143</v>
      </c>
    </row>
    <row r="1849" spans="1:5" x14ac:dyDescent="0.25">
      <c r="A1849" s="60">
        <v>215</v>
      </c>
      <c r="B1849" s="60" t="s">
        <v>117</v>
      </c>
      <c r="C1849" s="60">
        <v>210</v>
      </c>
      <c r="D1849" s="60">
        <v>206023</v>
      </c>
      <c r="E1849" s="60">
        <f t="shared" si="28"/>
        <v>-206023</v>
      </c>
    </row>
    <row r="1850" spans="1:5" x14ac:dyDescent="0.25">
      <c r="A1850" s="60">
        <v>215</v>
      </c>
      <c r="B1850" s="60" t="s">
        <v>118</v>
      </c>
      <c r="C1850" s="60">
        <v>1</v>
      </c>
      <c r="D1850" s="60">
        <v>0</v>
      </c>
      <c r="E1850" s="60">
        <f t="shared" si="28"/>
        <v>0</v>
      </c>
    </row>
    <row r="1851" spans="1:5" x14ac:dyDescent="0.25">
      <c r="A1851" s="60">
        <v>215</v>
      </c>
      <c r="B1851" s="60" t="s">
        <v>118</v>
      </c>
      <c r="C1851" s="60">
        <v>10</v>
      </c>
      <c r="D1851" s="60">
        <v>0</v>
      </c>
      <c r="E1851" s="60">
        <f t="shared" si="28"/>
        <v>0</v>
      </c>
    </row>
    <row r="1852" spans="1:5" x14ac:dyDescent="0.25">
      <c r="A1852" s="60">
        <v>215</v>
      </c>
      <c r="B1852" s="60" t="s">
        <v>118</v>
      </c>
      <c r="C1852" s="60">
        <v>50</v>
      </c>
      <c r="D1852" s="60">
        <v>0</v>
      </c>
      <c r="E1852" s="60">
        <f t="shared" si="28"/>
        <v>0</v>
      </c>
    </row>
    <row r="1853" spans="1:5" x14ac:dyDescent="0.25">
      <c r="A1853" s="60">
        <v>215</v>
      </c>
      <c r="B1853" s="60" t="s">
        <v>118</v>
      </c>
      <c r="C1853" s="60">
        <v>110</v>
      </c>
      <c r="D1853" s="60">
        <v>0</v>
      </c>
      <c r="E1853" s="60">
        <f t="shared" si="28"/>
        <v>0</v>
      </c>
    </row>
    <row r="1854" spans="1:5" x14ac:dyDescent="0.25">
      <c r="A1854" s="60">
        <v>215</v>
      </c>
      <c r="B1854" s="60" t="s">
        <v>118</v>
      </c>
      <c r="C1854" s="60">
        <v>120</v>
      </c>
      <c r="D1854" s="60">
        <v>0</v>
      </c>
      <c r="E1854" s="60">
        <f t="shared" si="28"/>
        <v>0</v>
      </c>
    </row>
    <row r="1855" spans="1:5" x14ac:dyDescent="0.25">
      <c r="A1855" s="60">
        <v>215</v>
      </c>
      <c r="B1855" s="60" t="s">
        <v>118</v>
      </c>
      <c r="C1855" s="60">
        <v>140</v>
      </c>
      <c r="D1855" s="60">
        <v>0</v>
      </c>
      <c r="E1855" s="60">
        <f t="shared" si="28"/>
        <v>0</v>
      </c>
    </row>
    <row r="1856" spans="1:5" x14ac:dyDescent="0.25">
      <c r="A1856" s="60">
        <v>215</v>
      </c>
      <c r="B1856" s="60" t="s">
        <v>118</v>
      </c>
      <c r="C1856" s="60">
        <v>200</v>
      </c>
      <c r="D1856" s="60">
        <v>0</v>
      </c>
      <c r="E1856" s="60">
        <f t="shared" si="28"/>
        <v>0</v>
      </c>
    </row>
    <row r="1857" spans="1:5" x14ac:dyDescent="0.25">
      <c r="A1857" s="60">
        <v>215</v>
      </c>
      <c r="B1857" s="60" t="s">
        <v>118</v>
      </c>
      <c r="C1857" s="60">
        <v>220</v>
      </c>
      <c r="D1857" s="60">
        <v>0</v>
      </c>
      <c r="E1857" s="60">
        <f t="shared" si="28"/>
        <v>0</v>
      </c>
    </row>
    <row r="1858" spans="1:5" x14ac:dyDescent="0.25">
      <c r="A1858" s="60">
        <v>215</v>
      </c>
      <c r="B1858" s="60" t="s">
        <v>118</v>
      </c>
      <c r="C1858" s="60">
        <v>230</v>
      </c>
      <c r="D1858" s="60">
        <v>0</v>
      </c>
      <c r="E1858" s="60">
        <f t="shared" ref="E1858:E1921" si="29">IF(C1858&lt;100,D1858,D1858*-1)</f>
        <v>0</v>
      </c>
    </row>
    <row r="1859" spans="1:5" x14ac:dyDescent="0.25">
      <c r="A1859" s="60">
        <v>215</v>
      </c>
      <c r="B1859" s="60" t="s">
        <v>119</v>
      </c>
      <c r="C1859" s="60">
        <v>50</v>
      </c>
      <c r="D1859" s="60">
        <v>0</v>
      </c>
      <c r="E1859" s="60">
        <f t="shared" si="29"/>
        <v>0</v>
      </c>
    </row>
    <row r="1860" spans="1:5" x14ac:dyDescent="0.25">
      <c r="A1860" s="60">
        <v>215</v>
      </c>
      <c r="B1860" s="60" t="s">
        <v>119</v>
      </c>
      <c r="C1860" s="60">
        <v>110</v>
      </c>
      <c r="D1860" s="60">
        <v>0</v>
      </c>
      <c r="E1860" s="60">
        <f t="shared" si="29"/>
        <v>0</v>
      </c>
    </row>
    <row r="1861" spans="1:5" x14ac:dyDescent="0.25">
      <c r="A1861" s="60">
        <v>215</v>
      </c>
      <c r="B1861" s="60" t="s">
        <v>120</v>
      </c>
      <c r="C1861" s="60">
        <v>1</v>
      </c>
      <c r="D1861" s="60">
        <v>76066303</v>
      </c>
      <c r="E1861" s="60">
        <f t="shared" si="29"/>
        <v>76066303</v>
      </c>
    </row>
    <row r="1862" spans="1:5" x14ac:dyDescent="0.25">
      <c r="A1862" s="60">
        <v>215</v>
      </c>
      <c r="B1862" s="60" t="s">
        <v>120</v>
      </c>
      <c r="C1862" s="60">
        <v>10</v>
      </c>
      <c r="D1862" s="60">
        <v>1225040</v>
      </c>
      <c r="E1862" s="60">
        <f t="shared" si="29"/>
        <v>1225040</v>
      </c>
    </row>
    <row r="1863" spans="1:5" x14ac:dyDescent="0.25">
      <c r="A1863" s="60">
        <v>215</v>
      </c>
      <c r="B1863" s="60" t="s">
        <v>120</v>
      </c>
      <c r="C1863" s="60">
        <v>50</v>
      </c>
      <c r="D1863" s="60">
        <v>48151170</v>
      </c>
      <c r="E1863" s="60">
        <f t="shared" si="29"/>
        <v>48151170</v>
      </c>
    </row>
    <row r="1864" spans="1:5" x14ac:dyDescent="0.25">
      <c r="A1864" s="60">
        <v>215</v>
      </c>
      <c r="B1864" s="60" t="s">
        <v>120</v>
      </c>
      <c r="C1864" s="60">
        <v>70</v>
      </c>
      <c r="D1864" s="60">
        <v>-1325963</v>
      </c>
      <c r="E1864" s="60">
        <f t="shared" si="29"/>
        <v>-1325963</v>
      </c>
    </row>
    <row r="1865" spans="1:5" x14ac:dyDescent="0.25">
      <c r="A1865" s="60">
        <v>215</v>
      </c>
      <c r="B1865" s="60" t="s">
        <v>120</v>
      </c>
      <c r="C1865" s="60">
        <v>110</v>
      </c>
      <c r="D1865" s="60">
        <v>367900</v>
      </c>
      <c r="E1865" s="60">
        <f t="shared" si="29"/>
        <v>-367900</v>
      </c>
    </row>
    <row r="1866" spans="1:5" x14ac:dyDescent="0.25">
      <c r="A1866" s="60">
        <v>215</v>
      </c>
      <c r="B1866" s="60" t="s">
        <v>120</v>
      </c>
      <c r="C1866" s="60">
        <v>120</v>
      </c>
      <c r="D1866" s="60">
        <v>0</v>
      </c>
      <c r="E1866" s="60">
        <f t="shared" si="29"/>
        <v>0</v>
      </c>
    </row>
    <row r="1867" spans="1:5" x14ac:dyDescent="0.25">
      <c r="A1867" s="60">
        <v>215</v>
      </c>
      <c r="B1867" s="60" t="s">
        <v>120</v>
      </c>
      <c r="C1867" s="60">
        <v>140</v>
      </c>
      <c r="D1867" s="60">
        <v>21497620</v>
      </c>
      <c r="E1867" s="60">
        <f t="shared" si="29"/>
        <v>-21497620</v>
      </c>
    </row>
    <row r="1868" spans="1:5" x14ac:dyDescent="0.25">
      <c r="A1868" s="60">
        <v>215</v>
      </c>
      <c r="B1868" s="60" t="s">
        <v>120</v>
      </c>
      <c r="C1868" s="60">
        <v>141</v>
      </c>
      <c r="D1868" s="60">
        <v>56875560</v>
      </c>
      <c r="E1868" s="60">
        <f t="shared" si="29"/>
        <v>-56875560</v>
      </c>
    </row>
    <row r="1869" spans="1:5" x14ac:dyDescent="0.25">
      <c r="A1869" s="60">
        <v>215</v>
      </c>
      <c r="B1869" s="60" t="s">
        <v>120</v>
      </c>
      <c r="C1869" s="60">
        <v>200</v>
      </c>
      <c r="D1869" s="60">
        <v>12250</v>
      </c>
      <c r="E1869" s="60">
        <f t="shared" si="29"/>
        <v>-12250</v>
      </c>
    </row>
    <row r="1870" spans="1:5" x14ac:dyDescent="0.25">
      <c r="A1870" s="60">
        <v>215</v>
      </c>
      <c r="B1870" s="60" t="s">
        <v>120</v>
      </c>
      <c r="C1870" s="60">
        <v>210</v>
      </c>
      <c r="D1870" s="60">
        <v>47713</v>
      </c>
      <c r="E1870" s="60">
        <f t="shared" si="29"/>
        <v>-47713</v>
      </c>
    </row>
    <row r="1871" spans="1:5" x14ac:dyDescent="0.25">
      <c r="A1871" s="60">
        <v>215</v>
      </c>
      <c r="B1871" s="60" t="s">
        <v>120</v>
      </c>
      <c r="C1871" s="60">
        <v>220</v>
      </c>
      <c r="D1871" s="60">
        <v>0</v>
      </c>
      <c r="E1871" s="60">
        <f t="shared" si="29"/>
        <v>0</v>
      </c>
    </row>
    <row r="1872" spans="1:5" x14ac:dyDescent="0.25">
      <c r="A1872" s="60">
        <v>215</v>
      </c>
      <c r="B1872" s="60" t="s">
        <v>120</v>
      </c>
      <c r="C1872" s="60">
        <v>230</v>
      </c>
      <c r="D1872" s="60">
        <v>5030</v>
      </c>
      <c r="E1872" s="60">
        <f t="shared" si="29"/>
        <v>-5030</v>
      </c>
    </row>
    <row r="1873" spans="1:5" x14ac:dyDescent="0.25">
      <c r="A1873" s="60">
        <v>222</v>
      </c>
      <c r="B1873" s="60" t="s">
        <v>117</v>
      </c>
      <c r="C1873" s="60">
        <v>1</v>
      </c>
      <c r="D1873" s="60">
        <v>13188652</v>
      </c>
      <c r="E1873" s="60">
        <f t="shared" si="29"/>
        <v>13188652</v>
      </c>
    </row>
    <row r="1874" spans="1:5" x14ac:dyDescent="0.25">
      <c r="A1874" s="60">
        <v>222</v>
      </c>
      <c r="B1874" s="60" t="s">
        <v>117</v>
      </c>
      <c r="C1874" s="60">
        <v>10</v>
      </c>
      <c r="D1874" s="60">
        <v>24695140</v>
      </c>
      <c r="E1874" s="60">
        <f t="shared" si="29"/>
        <v>24695140</v>
      </c>
    </row>
    <row r="1875" spans="1:5" x14ac:dyDescent="0.25">
      <c r="A1875" s="60">
        <v>222</v>
      </c>
      <c r="B1875" s="60" t="s">
        <v>117</v>
      </c>
      <c r="C1875" s="60">
        <v>20</v>
      </c>
      <c r="D1875" s="60">
        <v>0</v>
      </c>
      <c r="E1875" s="60">
        <f t="shared" si="29"/>
        <v>0</v>
      </c>
    </row>
    <row r="1876" spans="1:5" x14ac:dyDescent="0.25">
      <c r="A1876" s="60">
        <v>222</v>
      </c>
      <c r="B1876" s="60" t="s">
        <v>117</v>
      </c>
      <c r="C1876" s="60">
        <v>50</v>
      </c>
      <c r="D1876" s="60">
        <v>0</v>
      </c>
      <c r="E1876" s="60">
        <f t="shared" si="29"/>
        <v>0</v>
      </c>
    </row>
    <row r="1877" spans="1:5" x14ac:dyDescent="0.25">
      <c r="A1877" s="60">
        <v>222</v>
      </c>
      <c r="B1877" s="60" t="s">
        <v>117</v>
      </c>
      <c r="C1877" s="60">
        <v>70</v>
      </c>
      <c r="D1877" s="60">
        <v>0</v>
      </c>
      <c r="E1877" s="60">
        <f t="shared" si="29"/>
        <v>0</v>
      </c>
    </row>
    <row r="1878" spans="1:5" x14ac:dyDescent="0.25">
      <c r="A1878" s="60">
        <v>222</v>
      </c>
      <c r="B1878" s="60" t="s">
        <v>117</v>
      </c>
      <c r="C1878" s="60">
        <v>100</v>
      </c>
      <c r="D1878" s="60">
        <v>0</v>
      </c>
      <c r="E1878" s="60">
        <f t="shared" si="29"/>
        <v>0</v>
      </c>
    </row>
    <row r="1879" spans="1:5" x14ac:dyDescent="0.25">
      <c r="A1879" s="60">
        <v>222</v>
      </c>
      <c r="B1879" s="60" t="s">
        <v>117</v>
      </c>
      <c r="C1879" s="60">
        <v>110</v>
      </c>
      <c r="D1879" s="60">
        <v>0</v>
      </c>
      <c r="E1879" s="60">
        <f t="shared" si="29"/>
        <v>0</v>
      </c>
    </row>
    <row r="1880" spans="1:5" x14ac:dyDescent="0.25">
      <c r="A1880" s="60">
        <v>222</v>
      </c>
      <c r="B1880" s="60" t="s">
        <v>117</v>
      </c>
      <c r="C1880" s="60">
        <v>120</v>
      </c>
      <c r="D1880" s="60">
        <v>0</v>
      </c>
      <c r="E1880" s="60">
        <f t="shared" si="29"/>
        <v>0</v>
      </c>
    </row>
    <row r="1881" spans="1:5" x14ac:dyDescent="0.25">
      <c r="A1881" s="60">
        <v>222</v>
      </c>
      <c r="B1881" s="60" t="s">
        <v>117</v>
      </c>
      <c r="C1881" s="60">
        <v>130</v>
      </c>
      <c r="D1881" s="60">
        <v>0</v>
      </c>
      <c r="E1881" s="60">
        <f t="shared" si="29"/>
        <v>0</v>
      </c>
    </row>
    <row r="1882" spans="1:5" x14ac:dyDescent="0.25">
      <c r="A1882" s="60">
        <v>222</v>
      </c>
      <c r="B1882" s="60" t="s">
        <v>117</v>
      </c>
      <c r="C1882" s="60">
        <v>140</v>
      </c>
      <c r="D1882" s="60">
        <v>25082300</v>
      </c>
      <c r="E1882" s="60">
        <f t="shared" si="29"/>
        <v>-25082300</v>
      </c>
    </row>
    <row r="1883" spans="1:5" x14ac:dyDescent="0.25">
      <c r="A1883" s="60">
        <v>222</v>
      </c>
      <c r="B1883" s="60" t="s">
        <v>117</v>
      </c>
      <c r="C1883" s="60">
        <v>200</v>
      </c>
      <c r="D1883" s="60">
        <v>122165</v>
      </c>
      <c r="E1883" s="60">
        <f t="shared" si="29"/>
        <v>-122165</v>
      </c>
    </row>
    <row r="1884" spans="1:5" x14ac:dyDescent="0.25">
      <c r="A1884" s="60">
        <v>222</v>
      </c>
      <c r="B1884" s="60" t="s">
        <v>117</v>
      </c>
      <c r="C1884" s="60">
        <v>210</v>
      </c>
      <c r="D1884" s="60">
        <v>141321</v>
      </c>
      <c r="E1884" s="60">
        <f t="shared" si="29"/>
        <v>-141321</v>
      </c>
    </row>
    <row r="1885" spans="1:5" x14ac:dyDescent="0.25">
      <c r="A1885" s="60">
        <v>222</v>
      </c>
      <c r="B1885" s="60" t="s">
        <v>117</v>
      </c>
      <c r="C1885" s="60">
        <v>230</v>
      </c>
      <c r="D1885" s="60">
        <v>0</v>
      </c>
      <c r="E1885" s="60">
        <f t="shared" si="29"/>
        <v>0</v>
      </c>
    </row>
    <row r="1886" spans="1:5" x14ac:dyDescent="0.25">
      <c r="A1886" s="60">
        <v>222</v>
      </c>
      <c r="B1886" s="60" t="s">
        <v>117</v>
      </c>
      <c r="C1886" s="60">
        <v>298</v>
      </c>
      <c r="D1886" s="60">
        <v>0</v>
      </c>
      <c r="E1886" s="60">
        <f t="shared" si="29"/>
        <v>0</v>
      </c>
    </row>
    <row r="1887" spans="1:5" x14ac:dyDescent="0.25">
      <c r="A1887" s="60">
        <v>222</v>
      </c>
      <c r="B1887" s="60" t="s">
        <v>118</v>
      </c>
      <c r="C1887" s="60">
        <v>1</v>
      </c>
      <c r="D1887" s="60">
        <v>7550</v>
      </c>
      <c r="E1887" s="60">
        <f t="shared" si="29"/>
        <v>7550</v>
      </c>
    </row>
    <row r="1888" spans="1:5" x14ac:dyDescent="0.25">
      <c r="A1888" s="60">
        <v>222</v>
      </c>
      <c r="B1888" s="60" t="s">
        <v>118</v>
      </c>
      <c r="C1888" s="60">
        <v>10</v>
      </c>
      <c r="D1888" s="60">
        <v>2549480</v>
      </c>
      <c r="E1888" s="60">
        <f t="shared" si="29"/>
        <v>2549480</v>
      </c>
    </row>
    <row r="1889" spans="1:5" x14ac:dyDescent="0.25">
      <c r="A1889" s="60">
        <v>222</v>
      </c>
      <c r="B1889" s="60" t="s">
        <v>118</v>
      </c>
      <c r="C1889" s="60">
        <v>20</v>
      </c>
      <c r="D1889" s="60">
        <v>703</v>
      </c>
      <c r="E1889" s="60">
        <f t="shared" si="29"/>
        <v>703</v>
      </c>
    </row>
    <row r="1890" spans="1:5" x14ac:dyDescent="0.25">
      <c r="A1890" s="60">
        <v>222</v>
      </c>
      <c r="B1890" s="60" t="s">
        <v>118</v>
      </c>
      <c r="C1890" s="60">
        <v>50</v>
      </c>
      <c r="D1890" s="60">
        <v>0</v>
      </c>
      <c r="E1890" s="60">
        <f t="shared" si="29"/>
        <v>0</v>
      </c>
    </row>
    <row r="1891" spans="1:5" x14ac:dyDescent="0.25">
      <c r="A1891" s="60">
        <v>222</v>
      </c>
      <c r="B1891" s="60" t="s">
        <v>118</v>
      </c>
      <c r="C1891" s="60">
        <v>70</v>
      </c>
      <c r="D1891" s="60">
        <v>0</v>
      </c>
      <c r="E1891" s="60">
        <f t="shared" si="29"/>
        <v>0</v>
      </c>
    </row>
    <row r="1892" spans="1:5" x14ac:dyDescent="0.25">
      <c r="A1892" s="60">
        <v>222</v>
      </c>
      <c r="B1892" s="60" t="s">
        <v>118</v>
      </c>
      <c r="C1892" s="60">
        <v>100</v>
      </c>
      <c r="D1892" s="60">
        <v>0</v>
      </c>
      <c r="E1892" s="60">
        <f t="shared" si="29"/>
        <v>0</v>
      </c>
    </row>
    <row r="1893" spans="1:5" x14ac:dyDescent="0.25">
      <c r="A1893" s="60">
        <v>222</v>
      </c>
      <c r="B1893" s="60" t="s">
        <v>118</v>
      </c>
      <c r="C1893" s="60">
        <v>110</v>
      </c>
      <c r="D1893" s="60">
        <v>0</v>
      </c>
      <c r="E1893" s="60">
        <f t="shared" si="29"/>
        <v>0</v>
      </c>
    </row>
    <row r="1894" spans="1:5" x14ac:dyDescent="0.25">
      <c r="A1894" s="60">
        <v>222</v>
      </c>
      <c r="B1894" s="60" t="s">
        <v>118</v>
      </c>
      <c r="C1894" s="60">
        <v>120</v>
      </c>
      <c r="D1894" s="60">
        <v>0</v>
      </c>
      <c r="E1894" s="60">
        <f t="shared" si="29"/>
        <v>0</v>
      </c>
    </row>
    <row r="1895" spans="1:5" x14ac:dyDescent="0.25">
      <c r="A1895" s="60">
        <v>222</v>
      </c>
      <c r="B1895" s="60" t="s">
        <v>118</v>
      </c>
      <c r="C1895" s="60">
        <v>130</v>
      </c>
      <c r="D1895" s="60">
        <v>0</v>
      </c>
      <c r="E1895" s="60">
        <f t="shared" si="29"/>
        <v>0</v>
      </c>
    </row>
    <row r="1896" spans="1:5" x14ac:dyDescent="0.25">
      <c r="A1896" s="60">
        <v>222</v>
      </c>
      <c r="B1896" s="60" t="s">
        <v>118</v>
      </c>
      <c r="C1896" s="60">
        <v>140</v>
      </c>
      <c r="D1896" s="60">
        <v>0</v>
      </c>
      <c r="E1896" s="60">
        <f t="shared" si="29"/>
        <v>0</v>
      </c>
    </row>
    <row r="1897" spans="1:5" x14ac:dyDescent="0.25">
      <c r="A1897" s="60">
        <v>222</v>
      </c>
      <c r="B1897" s="60" t="s">
        <v>118</v>
      </c>
      <c r="C1897" s="60">
        <v>141</v>
      </c>
      <c r="D1897" s="60">
        <v>2448020</v>
      </c>
      <c r="E1897" s="60">
        <f t="shared" si="29"/>
        <v>-2448020</v>
      </c>
    </row>
    <row r="1898" spans="1:5" x14ac:dyDescent="0.25">
      <c r="A1898" s="60">
        <v>222</v>
      </c>
      <c r="B1898" s="60" t="s">
        <v>118</v>
      </c>
      <c r="C1898" s="60">
        <v>200</v>
      </c>
      <c r="D1898" s="60">
        <v>12288</v>
      </c>
      <c r="E1898" s="60">
        <f t="shared" si="29"/>
        <v>-12288</v>
      </c>
    </row>
    <row r="1899" spans="1:5" x14ac:dyDescent="0.25">
      <c r="A1899" s="60">
        <v>222</v>
      </c>
      <c r="B1899" s="60" t="s">
        <v>118</v>
      </c>
      <c r="C1899" s="60">
        <v>210</v>
      </c>
      <c r="D1899" s="60">
        <v>0</v>
      </c>
      <c r="E1899" s="60">
        <f t="shared" si="29"/>
        <v>0</v>
      </c>
    </row>
    <row r="1900" spans="1:5" x14ac:dyDescent="0.25">
      <c r="A1900" s="60">
        <v>222</v>
      </c>
      <c r="B1900" s="60" t="s">
        <v>118</v>
      </c>
      <c r="C1900" s="60">
        <v>220</v>
      </c>
      <c r="D1900" s="60">
        <v>0</v>
      </c>
      <c r="E1900" s="60">
        <f t="shared" si="29"/>
        <v>0</v>
      </c>
    </row>
    <row r="1901" spans="1:5" x14ac:dyDescent="0.25">
      <c r="A1901" s="60">
        <v>222</v>
      </c>
      <c r="B1901" s="60" t="s">
        <v>118</v>
      </c>
      <c r="C1901" s="60">
        <v>230</v>
      </c>
      <c r="D1901" s="60">
        <v>42014</v>
      </c>
      <c r="E1901" s="60">
        <f t="shared" si="29"/>
        <v>-42014</v>
      </c>
    </row>
    <row r="1902" spans="1:5" x14ac:dyDescent="0.25">
      <c r="A1902" s="60">
        <v>222</v>
      </c>
      <c r="B1902" s="60" t="s">
        <v>118</v>
      </c>
      <c r="C1902" s="60">
        <v>298</v>
      </c>
      <c r="D1902" s="60">
        <v>0</v>
      </c>
      <c r="E1902" s="60">
        <f t="shared" si="29"/>
        <v>0</v>
      </c>
    </row>
    <row r="1903" spans="1:5" x14ac:dyDescent="0.25">
      <c r="A1903" s="60">
        <v>222</v>
      </c>
      <c r="B1903" s="60" t="s">
        <v>119</v>
      </c>
      <c r="C1903" s="60">
        <v>1</v>
      </c>
      <c r="D1903" s="60">
        <v>5367994</v>
      </c>
      <c r="E1903" s="60">
        <f t="shared" si="29"/>
        <v>5367994</v>
      </c>
    </row>
    <row r="1904" spans="1:5" x14ac:dyDescent="0.25">
      <c r="A1904" s="60">
        <v>222</v>
      </c>
      <c r="B1904" s="60" t="s">
        <v>119</v>
      </c>
      <c r="C1904" s="60">
        <v>10</v>
      </c>
      <c r="D1904" s="60">
        <v>28858450</v>
      </c>
      <c r="E1904" s="60">
        <f t="shared" si="29"/>
        <v>28858450</v>
      </c>
    </row>
    <row r="1905" spans="1:5" x14ac:dyDescent="0.25">
      <c r="A1905" s="60">
        <v>222</v>
      </c>
      <c r="B1905" s="60" t="s">
        <v>119</v>
      </c>
      <c r="C1905" s="60">
        <v>20</v>
      </c>
      <c r="D1905" s="60">
        <v>180000</v>
      </c>
      <c r="E1905" s="60">
        <f t="shared" si="29"/>
        <v>180000</v>
      </c>
    </row>
    <row r="1906" spans="1:5" x14ac:dyDescent="0.25">
      <c r="A1906" s="60">
        <v>222</v>
      </c>
      <c r="B1906" s="60" t="s">
        <v>119</v>
      </c>
      <c r="C1906" s="60">
        <v>50</v>
      </c>
      <c r="D1906" s="60">
        <v>0</v>
      </c>
      <c r="E1906" s="60">
        <f t="shared" si="29"/>
        <v>0</v>
      </c>
    </row>
    <row r="1907" spans="1:5" x14ac:dyDescent="0.25">
      <c r="A1907" s="60">
        <v>222</v>
      </c>
      <c r="B1907" s="60" t="s">
        <v>119</v>
      </c>
      <c r="C1907" s="60">
        <v>70</v>
      </c>
      <c r="D1907" s="60">
        <v>0</v>
      </c>
      <c r="E1907" s="60">
        <f t="shared" si="29"/>
        <v>0</v>
      </c>
    </row>
    <row r="1908" spans="1:5" x14ac:dyDescent="0.25">
      <c r="A1908" s="60">
        <v>222</v>
      </c>
      <c r="B1908" s="60" t="s">
        <v>119</v>
      </c>
      <c r="C1908" s="60">
        <v>110</v>
      </c>
      <c r="D1908" s="60">
        <v>13271880</v>
      </c>
      <c r="E1908" s="60">
        <f t="shared" si="29"/>
        <v>-13271880</v>
      </c>
    </row>
    <row r="1909" spans="1:5" x14ac:dyDescent="0.25">
      <c r="A1909" s="60">
        <v>222</v>
      </c>
      <c r="B1909" s="60" t="s">
        <v>119</v>
      </c>
      <c r="C1909" s="60">
        <v>120</v>
      </c>
      <c r="D1909" s="60">
        <v>0</v>
      </c>
      <c r="E1909" s="60">
        <f t="shared" si="29"/>
        <v>0</v>
      </c>
    </row>
    <row r="1910" spans="1:5" x14ac:dyDescent="0.25">
      <c r="A1910" s="60">
        <v>222</v>
      </c>
      <c r="B1910" s="60" t="s">
        <v>119</v>
      </c>
      <c r="C1910" s="60">
        <v>140</v>
      </c>
      <c r="D1910" s="60">
        <v>2327090</v>
      </c>
      <c r="E1910" s="60">
        <f t="shared" si="29"/>
        <v>-2327090</v>
      </c>
    </row>
    <row r="1911" spans="1:5" x14ac:dyDescent="0.25">
      <c r="A1911" s="60">
        <v>222</v>
      </c>
      <c r="B1911" s="60" t="s">
        <v>119</v>
      </c>
      <c r="C1911" s="60">
        <v>141</v>
      </c>
      <c r="D1911" s="60">
        <v>2808850</v>
      </c>
      <c r="E1911" s="60">
        <f t="shared" si="29"/>
        <v>-2808850</v>
      </c>
    </row>
    <row r="1912" spans="1:5" x14ac:dyDescent="0.25">
      <c r="A1912" s="60">
        <v>222</v>
      </c>
      <c r="B1912" s="60" t="s">
        <v>119</v>
      </c>
      <c r="C1912" s="60">
        <v>200</v>
      </c>
      <c r="D1912" s="60">
        <v>143538</v>
      </c>
      <c r="E1912" s="60">
        <f t="shared" si="29"/>
        <v>-143538</v>
      </c>
    </row>
    <row r="1913" spans="1:5" x14ac:dyDescent="0.25">
      <c r="A1913" s="60">
        <v>222</v>
      </c>
      <c r="B1913" s="60" t="s">
        <v>119</v>
      </c>
      <c r="C1913" s="60">
        <v>210</v>
      </c>
      <c r="D1913" s="60">
        <v>38269</v>
      </c>
      <c r="E1913" s="60">
        <f t="shared" si="29"/>
        <v>-38269</v>
      </c>
    </row>
    <row r="1914" spans="1:5" x14ac:dyDescent="0.25">
      <c r="A1914" s="60">
        <v>222</v>
      </c>
      <c r="B1914" s="60" t="s">
        <v>119</v>
      </c>
      <c r="C1914" s="60">
        <v>220</v>
      </c>
      <c r="D1914" s="60">
        <v>0</v>
      </c>
      <c r="E1914" s="60">
        <f t="shared" si="29"/>
        <v>0</v>
      </c>
    </row>
    <row r="1915" spans="1:5" x14ac:dyDescent="0.25">
      <c r="A1915" s="60">
        <v>222</v>
      </c>
      <c r="B1915" s="60" t="s">
        <v>119</v>
      </c>
      <c r="C1915" s="60">
        <v>230</v>
      </c>
      <c r="D1915" s="60">
        <v>67384</v>
      </c>
      <c r="E1915" s="60">
        <f t="shared" si="29"/>
        <v>-67384</v>
      </c>
    </row>
    <row r="1916" spans="1:5" x14ac:dyDescent="0.25">
      <c r="A1916" s="60">
        <v>222</v>
      </c>
      <c r="B1916" s="60" t="s">
        <v>119</v>
      </c>
      <c r="C1916" s="60">
        <v>270</v>
      </c>
      <c r="D1916" s="60">
        <v>0</v>
      </c>
      <c r="E1916" s="60">
        <f t="shared" si="29"/>
        <v>0</v>
      </c>
    </row>
    <row r="1917" spans="1:5" x14ac:dyDescent="0.25">
      <c r="A1917" s="60">
        <v>222</v>
      </c>
      <c r="B1917" s="60" t="s">
        <v>119</v>
      </c>
      <c r="C1917" s="60">
        <v>298</v>
      </c>
      <c r="D1917" s="60">
        <v>0</v>
      </c>
      <c r="E1917" s="60">
        <f t="shared" si="29"/>
        <v>0</v>
      </c>
    </row>
    <row r="1918" spans="1:5" x14ac:dyDescent="0.25">
      <c r="A1918" s="60">
        <v>222</v>
      </c>
      <c r="B1918" s="60" t="s">
        <v>120</v>
      </c>
      <c r="C1918" s="60">
        <v>1</v>
      </c>
      <c r="D1918" s="60">
        <v>0</v>
      </c>
      <c r="E1918" s="60">
        <f t="shared" si="29"/>
        <v>0</v>
      </c>
    </row>
    <row r="1919" spans="1:5" x14ac:dyDescent="0.25">
      <c r="A1919" s="60">
        <v>222</v>
      </c>
      <c r="B1919" s="60" t="s">
        <v>120</v>
      </c>
      <c r="C1919" s="60">
        <v>10</v>
      </c>
      <c r="D1919" s="60">
        <v>31956150</v>
      </c>
      <c r="E1919" s="60">
        <f t="shared" si="29"/>
        <v>31956150</v>
      </c>
    </row>
    <row r="1920" spans="1:5" x14ac:dyDescent="0.25">
      <c r="A1920" s="60">
        <v>222</v>
      </c>
      <c r="B1920" s="60" t="s">
        <v>120</v>
      </c>
      <c r="C1920" s="60">
        <v>20</v>
      </c>
      <c r="D1920" s="60">
        <v>0</v>
      </c>
      <c r="E1920" s="60">
        <f t="shared" si="29"/>
        <v>0</v>
      </c>
    </row>
    <row r="1921" spans="1:5" x14ac:dyDescent="0.25">
      <c r="A1921" s="60">
        <v>222</v>
      </c>
      <c r="B1921" s="60" t="s">
        <v>120</v>
      </c>
      <c r="C1921" s="60">
        <v>50</v>
      </c>
      <c r="D1921" s="60">
        <v>0</v>
      </c>
      <c r="E1921" s="60">
        <f t="shared" si="29"/>
        <v>0</v>
      </c>
    </row>
    <row r="1922" spans="1:5" x14ac:dyDescent="0.25">
      <c r="A1922" s="60">
        <v>222</v>
      </c>
      <c r="B1922" s="60" t="s">
        <v>120</v>
      </c>
      <c r="C1922" s="60">
        <v>70</v>
      </c>
      <c r="D1922" s="60">
        <v>0</v>
      </c>
      <c r="E1922" s="60">
        <f t="shared" ref="E1922:E1985" si="30">IF(C1922&lt;100,D1922,D1922*-1)</f>
        <v>0</v>
      </c>
    </row>
    <row r="1923" spans="1:5" x14ac:dyDescent="0.25">
      <c r="A1923" s="60">
        <v>222</v>
      </c>
      <c r="B1923" s="60" t="s">
        <v>120</v>
      </c>
      <c r="C1923" s="60">
        <v>110</v>
      </c>
      <c r="D1923" s="60">
        <v>0</v>
      </c>
      <c r="E1923" s="60">
        <f t="shared" si="30"/>
        <v>0</v>
      </c>
    </row>
    <row r="1924" spans="1:5" x14ac:dyDescent="0.25">
      <c r="A1924" s="60">
        <v>222</v>
      </c>
      <c r="B1924" s="60" t="s">
        <v>120</v>
      </c>
      <c r="C1924" s="60">
        <v>120</v>
      </c>
      <c r="D1924" s="60">
        <v>119130</v>
      </c>
      <c r="E1924" s="60">
        <f t="shared" si="30"/>
        <v>-119130</v>
      </c>
    </row>
    <row r="1925" spans="1:5" x14ac:dyDescent="0.25">
      <c r="A1925" s="60">
        <v>222</v>
      </c>
      <c r="B1925" s="60" t="s">
        <v>120</v>
      </c>
      <c r="C1925" s="60">
        <v>130</v>
      </c>
      <c r="D1925" s="60">
        <v>335090</v>
      </c>
      <c r="E1925" s="60">
        <f t="shared" si="30"/>
        <v>-335090</v>
      </c>
    </row>
    <row r="1926" spans="1:5" x14ac:dyDescent="0.25">
      <c r="A1926" s="60">
        <v>222</v>
      </c>
      <c r="B1926" s="60" t="s">
        <v>120</v>
      </c>
      <c r="C1926" s="60">
        <v>140</v>
      </c>
      <c r="D1926" s="60">
        <v>23637900</v>
      </c>
      <c r="E1926" s="60">
        <f t="shared" si="30"/>
        <v>-23637900</v>
      </c>
    </row>
    <row r="1927" spans="1:5" x14ac:dyDescent="0.25">
      <c r="A1927" s="60">
        <v>222</v>
      </c>
      <c r="B1927" s="60" t="s">
        <v>120</v>
      </c>
      <c r="C1927" s="60">
        <v>141</v>
      </c>
      <c r="D1927" s="60">
        <v>6664580</v>
      </c>
      <c r="E1927" s="60">
        <f t="shared" si="30"/>
        <v>-6664580</v>
      </c>
    </row>
    <row r="1928" spans="1:5" x14ac:dyDescent="0.25">
      <c r="A1928" s="60">
        <v>222</v>
      </c>
      <c r="B1928" s="60" t="s">
        <v>120</v>
      </c>
      <c r="C1928" s="60">
        <v>200</v>
      </c>
      <c r="D1928" s="60">
        <v>300962</v>
      </c>
      <c r="E1928" s="60">
        <f t="shared" si="30"/>
        <v>-300962</v>
      </c>
    </row>
    <row r="1929" spans="1:5" x14ac:dyDescent="0.25">
      <c r="A1929" s="60">
        <v>222</v>
      </c>
      <c r="B1929" s="60" t="s">
        <v>120</v>
      </c>
      <c r="C1929" s="60">
        <v>210</v>
      </c>
      <c r="D1929" s="60">
        <v>1540</v>
      </c>
      <c r="E1929" s="60">
        <f t="shared" si="30"/>
        <v>-1540</v>
      </c>
    </row>
    <row r="1930" spans="1:5" x14ac:dyDescent="0.25">
      <c r="A1930" s="60">
        <v>222</v>
      </c>
      <c r="B1930" s="60" t="s">
        <v>120</v>
      </c>
      <c r="C1930" s="60">
        <v>220</v>
      </c>
      <c r="D1930" s="60">
        <v>0</v>
      </c>
      <c r="E1930" s="60">
        <f t="shared" si="30"/>
        <v>0</v>
      </c>
    </row>
    <row r="1931" spans="1:5" x14ac:dyDescent="0.25">
      <c r="A1931" s="60">
        <v>222</v>
      </c>
      <c r="B1931" s="60" t="s">
        <v>120</v>
      </c>
      <c r="C1931" s="60">
        <v>230</v>
      </c>
      <c r="D1931" s="60">
        <v>36830</v>
      </c>
      <c r="E1931" s="60">
        <f t="shared" si="30"/>
        <v>-36830</v>
      </c>
    </row>
    <row r="1932" spans="1:5" x14ac:dyDescent="0.25">
      <c r="A1932" s="60">
        <v>222</v>
      </c>
      <c r="B1932" s="60" t="s">
        <v>120</v>
      </c>
      <c r="C1932" s="60">
        <v>298</v>
      </c>
      <c r="D1932" s="60">
        <v>0</v>
      </c>
      <c r="E1932" s="60">
        <f t="shared" si="30"/>
        <v>0</v>
      </c>
    </row>
    <row r="1933" spans="1:5" x14ac:dyDescent="0.25">
      <c r="A1933" s="60">
        <v>242</v>
      </c>
      <c r="B1933" s="60" t="s">
        <v>117</v>
      </c>
      <c r="C1933" s="60">
        <v>1</v>
      </c>
      <c r="D1933" s="60">
        <v>15282369</v>
      </c>
      <c r="E1933" s="60">
        <f t="shared" si="30"/>
        <v>15282369</v>
      </c>
    </row>
    <row r="1934" spans="1:5" x14ac:dyDescent="0.25">
      <c r="A1934" s="60">
        <v>242</v>
      </c>
      <c r="B1934" s="60" t="s">
        <v>117</v>
      </c>
      <c r="C1934" s="60">
        <v>10</v>
      </c>
      <c r="D1934" s="60">
        <v>11228600</v>
      </c>
      <c r="E1934" s="60">
        <f t="shared" si="30"/>
        <v>11228600</v>
      </c>
    </row>
    <row r="1935" spans="1:5" x14ac:dyDescent="0.25">
      <c r="A1935" s="60">
        <v>242</v>
      </c>
      <c r="B1935" s="60" t="s">
        <v>117</v>
      </c>
      <c r="C1935" s="60">
        <v>20</v>
      </c>
      <c r="D1935" s="60">
        <v>0</v>
      </c>
      <c r="E1935" s="60">
        <f t="shared" si="30"/>
        <v>0</v>
      </c>
    </row>
    <row r="1936" spans="1:5" x14ac:dyDescent="0.25">
      <c r="A1936" s="60">
        <v>242</v>
      </c>
      <c r="B1936" s="60" t="s">
        <v>117</v>
      </c>
      <c r="C1936" s="60">
        <v>50</v>
      </c>
      <c r="D1936" s="60">
        <v>0</v>
      </c>
      <c r="E1936" s="60">
        <f t="shared" si="30"/>
        <v>0</v>
      </c>
    </row>
    <row r="1937" spans="1:5" x14ac:dyDescent="0.25">
      <c r="A1937" s="60">
        <v>242</v>
      </c>
      <c r="B1937" s="60" t="s">
        <v>117</v>
      </c>
      <c r="C1937" s="60">
        <v>70</v>
      </c>
      <c r="D1937" s="60">
        <v>0</v>
      </c>
      <c r="E1937" s="60">
        <f t="shared" si="30"/>
        <v>0</v>
      </c>
    </row>
    <row r="1938" spans="1:5" x14ac:dyDescent="0.25">
      <c r="A1938" s="60">
        <v>242</v>
      </c>
      <c r="B1938" s="60" t="s">
        <v>117</v>
      </c>
      <c r="C1938" s="60">
        <v>110</v>
      </c>
      <c r="D1938" s="60">
        <v>382960</v>
      </c>
      <c r="E1938" s="60">
        <f t="shared" si="30"/>
        <v>-382960</v>
      </c>
    </row>
    <row r="1939" spans="1:5" x14ac:dyDescent="0.25">
      <c r="A1939" s="60">
        <v>242</v>
      </c>
      <c r="B1939" s="60" t="s">
        <v>117</v>
      </c>
      <c r="C1939" s="60">
        <v>120</v>
      </c>
      <c r="D1939" s="60">
        <v>8060</v>
      </c>
      <c r="E1939" s="60">
        <f t="shared" si="30"/>
        <v>-8060</v>
      </c>
    </row>
    <row r="1940" spans="1:5" x14ac:dyDescent="0.25">
      <c r="A1940" s="60">
        <v>242</v>
      </c>
      <c r="B1940" s="60" t="s">
        <v>117</v>
      </c>
      <c r="C1940" s="60">
        <v>130</v>
      </c>
      <c r="D1940" s="60">
        <v>0</v>
      </c>
      <c r="E1940" s="60">
        <f t="shared" si="30"/>
        <v>0</v>
      </c>
    </row>
    <row r="1941" spans="1:5" x14ac:dyDescent="0.25">
      <c r="A1941" s="60">
        <v>242</v>
      </c>
      <c r="B1941" s="60" t="s">
        <v>117</v>
      </c>
      <c r="C1941" s="60">
        <v>140</v>
      </c>
      <c r="D1941" s="60">
        <v>216740</v>
      </c>
      <c r="E1941" s="60">
        <f t="shared" si="30"/>
        <v>-216740</v>
      </c>
    </row>
    <row r="1942" spans="1:5" x14ac:dyDescent="0.25">
      <c r="A1942" s="60">
        <v>242</v>
      </c>
      <c r="B1942" s="60" t="s">
        <v>117</v>
      </c>
      <c r="C1942" s="60">
        <v>200</v>
      </c>
      <c r="D1942" s="60">
        <v>55892</v>
      </c>
      <c r="E1942" s="60">
        <f t="shared" si="30"/>
        <v>-55892</v>
      </c>
    </row>
    <row r="1943" spans="1:5" x14ac:dyDescent="0.25">
      <c r="A1943" s="60">
        <v>242</v>
      </c>
      <c r="B1943" s="60" t="s">
        <v>117</v>
      </c>
      <c r="C1943" s="60">
        <v>210</v>
      </c>
      <c r="D1943" s="60">
        <v>83928</v>
      </c>
      <c r="E1943" s="60">
        <f t="shared" si="30"/>
        <v>-83928</v>
      </c>
    </row>
    <row r="1944" spans="1:5" x14ac:dyDescent="0.25">
      <c r="A1944" s="60">
        <v>242</v>
      </c>
      <c r="B1944" s="60" t="s">
        <v>117</v>
      </c>
      <c r="C1944" s="60">
        <v>220</v>
      </c>
      <c r="D1944" s="60">
        <v>0</v>
      </c>
      <c r="E1944" s="60">
        <f t="shared" si="30"/>
        <v>0</v>
      </c>
    </row>
    <row r="1945" spans="1:5" x14ac:dyDescent="0.25">
      <c r="A1945" s="60">
        <v>242</v>
      </c>
      <c r="B1945" s="60" t="s">
        <v>117</v>
      </c>
      <c r="C1945" s="60">
        <v>230</v>
      </c>
      <c r="D1945" s="60">
        <v>0</v>
      </c>
      <c r="E1945" s="60">
        <f t="shared" si="30"/>
        <v>0</v>
      </c>
    </row>
    <row r="1946" spans="1:5" x14ac:dyDescent="0.25">
      <c r="A1946" s="60">
        <v>242</v>
      </c>
      <c r="B1946" s="60" t="s">
        <v>117</v>
      </c>
      <c r="C1946" s="60">
        <v>298</v>
      </c>
      <c r="D1946" s="60">
        <v>0</v>
      </c>
      <c r="E1946" s="60">
        <f t="shared" si="30"/>
        <v>0</v>
      </c>
    </row>
    <row r="1947" spans="1:5" x14ac:dyDescent="0.25">
      <c r="A1947" s="60">
        <v>242</v>
      </c>
      <c r="B1947" s="60" t="s">
        <v>118</v>
      </c>
      <c r="C1947" s="60">
        <v>1</v>
      </c>
      <c r="D1947" s="60">
        <v>85179</v>
      </c>
      <c r="E1947" s="60">
        <f t="shared" si="30"/>
        <v>85179</v>
      </c>
    </row>
    <row r="1948" spans="1:5" x14ac:dyDescent="0.25">
      <c r="A1948" s="60">
        <v>242</v>
      </c>
      <c r="B1948" s="60" t="s">
        <v>118</v>
      </c>
      <c r="C1948" s="60">
        <v>10</v>
      </c>
      <c r="D1948" s="60">
        <v>429020</v>
      </c>
      <c r="E1948" s="60">
        <f t="shared" si="30"/>
        <v>429020</v>
      </c>
    </row>
    <row r="1949" spans="1:5" x14ac:dyDescent="0.25">
      <c r="A1949" s="60">
        <v>242</v>
      </c>
      <c r="B1949" s="60" t="s">
        <v>118</v>
      </c>
      <c r="C1949" s="60">
        <v>20</v>
      </c>
      <c r="D1949" s="60">
        <v>61053</v>
      </c>
      <c r="E1949" s="60">
        <f t="shared" si="30"/>
        <v>61053</v>
      </c>
    </row>
    <row r="1950" spans="1:5" x14ac:dyDescent="0.25">
      <c r="A1950" s="60">
        <v>242</v>
      </c>
      <c r="B1950" s="60" t="s">
        <v>118</v>
      </c>
      <c r="C1950" s="60">
        <v>70</v>
      </c>
      <c r="D1950" s="60">
        <v>0</v>
      </c>
      <c r="E1950" s="60">
        <f t="shared" si="30"/>
        <v>0</v>
      </c>
    </row>
    <row r="1951" spans="1:5" x14ac:dyDescent="0.25">
      <c r="A1951" s="60">
        <v>242</v>
      </c>
      <c r="B1951" s="60" t="s">
        <v>118</v>
      </c>
      <c r="C1951" s="60">
        <v>110</v>
      </c>
      <c r="D1951" s="60">
        <v>0</v>
      </c>
      <c r="E1951" s="60">
        <f t="shared" si="30"/>
        <v>0</v>
      </c>
    </row>
    <row r="1952" spans="1:5" x14ac:dyDescent="0.25">
      <c r="A1952" s="60">
        <v>242</v>
      </c>
      <c r="B1952" s="60" t="s">
        <v>118</v>
      </c>
      <c r="C1952" s="60">
        <v>120</v>
      </c>
      <c r="D1952" s="60">
        <v>0</v>
      </c>
      <c r="E1952" s="60">
        <f t="shared" si="30"/>
        <v>0</v>
      </c>
    </row>
    <row r="1953" spans="1:5" x14ac:dyDescent="0.25">
      <c r="A1953" s="60">
        <v>242</v>
      </c>
      <c r="B1953" s="60" t="s">
        <v>118</v>
      </c>
      <c r="C1953" s="60">
        <v>130</v>
      </c>
      <c r="D1953" s="60">
        <v>0</v>
      </c>
      <c r="E1953" s="60">
        <f t="shared" si="30"/>
        <v>0</v>
      </c>
    </row>
    <row r="1954" spans="1:5" x14ac:dyDescent="0.25">
      <c r="A1954" s="60">
        <v>242</v>
      </c>
      <c r="B1954" s="60" t="s">
        <v>118</v>
      </c>
      <c r="C1954" s="60">
        <v>140</v>
      </c>
      <c r="D1954" s="60">
        <v>33760</v>
      </c>
      <c r="E1954" s="60">
        <f t="shared" si="30"/>
        <v>-33760</v>
      </c>
    </row>
    <row r="1955" spans="1:5" x14ac:dyDescent="0.25">
      <c r="A1955" s="60">
        <v>242</v>
      </c>
      <c r="B1955" s="60" t="s">
        <v>118</v>
      </c>
      <c r="C1955" s="60">
        <v>141</v>
      </c>
      <c r="D1955" s="60">
        <v>533600</v>
      </c>
      <c r="E1955" s="60">
        <f t="shared" si="30"/>
        <v>-533600</v>
      </c>
    </row>
    <row r="1956" spans="1:5" x14ac:dyDescent="0.25">
      <c r="A1956" s="60">
        <v>242</v>
      </c>
      <c r="B1956" s="60" t="s">
        <v>118</v>
      </c>
      <c r="C1956" s="60">
        <v>200</v>
      </c>
      <c r="D1956" s="60">
        <v>2145</v>
      </c>
      <c r="E1956" s="60">
        <f t="shared" si="30"/>
        <v>-2145</v>
      </c>
    </row>
    <row r="1957" spans="1:5" x14ac:dyDescent="0.25">
      <c r="A1957" s="60">
        <v>242</v>
      </c>
      <c r="B1957" s="60" t="s">
        <v>118</v>
      </c>
      <c r="C1957" s="60">
        <v>210</v>
      </c>
      <c r="D1957" s="60">
        <v>0</v>
      </c>
      <c r="E1957" s="60">
        <f t="shared" si="30"/>
        <v>0</v>
      </c>
    </row>
    <row r="1958" spans="1:5" x14ac:dyDescent="0.25">
      <c r="A1958" s="60">
        <v>242</v>
      </c>
      <c r="B1958" s="60" t="s">
        <v>118</v>
      </c>
      <c r="C1958" s="60">
        <v>220</v>
      </c>
      <c r="D1958" s="60">
        <v>0</v>
      </c>
      <c r="E1958" s="60">
        <f t="shared" si="30"/>
        <v>0</v>
      </c>
    </row>
    <row r="1959" spans="1:5" x14ac:dyDescent="0.25">
      <c r="A1959" s="60">
        <v>242</v>
      </c>
      <c r="B1959" s="60" t="s">
        <v>118</v>
      </c>
      <c r="C1959" s="60">
        <v>230</v>
      </c>
      <c r="D1959" s="60">
        <v>5747</v>
      </c>
      <c r="E1959" s="60">
        <f t="shared" si="30"/>
        <v>-5747</v>
      </c>
    </row>
    <row r="1960" spans="1:5" x14ac:dyDescent="0.25">
      <c r="A1960" s="60">
        <v>242</v>
      </c>
      <c r="B1960" s="60" t="s">
        <v>118</v>
      </c>
      <c r="C1960" s="60">
        <v>298</v>
      </c>
      <c r="D1960" s="60">
        <v>0</v>
      </c>
      <c r="E1960" s="60">
        <f t="shared" si="30"/>
        <v>0</v>
      </c>
    </row>
    <row r="1961" spans="1:5" x14ac:dyDescent="0.25">
      <c r="A1961" s="60">
        <v>242</v>
      </c>
      <c r="B1961" s="60" t="s">
        <v>119</v>
      </c>
      <c r="C1961" s="60">
        <v>1</v>
      </c>
      <c r="D1961" s="60">
        <v>14004796</v>
      </c>
      <c r="E1961" s="60">
        <f t="shared" si="30"/>
        <v>14004796</v>
      </c>
    </row>
    <row r="1962" spans="1:5" x14ac:dyDescent="0.25">
      <c r="A1962" s="60">
        <v>242</v>
      </c>
      <c r="B1962" s="60" t="s">
        <v>119</v>
      </c>
      <c r="C1962" s="60">
        <v>10</v>
      </c>
      <c r="D1962" s="60">
        <v>23711700</v>
      </c>
      <c r="E1962" s="60">
        <f t="shared" si="30"/>
        <v>23711700</v>
      </c>
    </row>
    <row r="1963" spans="1:5" x14ac:dyDescent="0.25">
      <c r="A1963" s="60">
        <v>242</v>
      </c>
      <c r="B1963" s="60" t="s">
        <v>119</v>
      </c>
      <c r="C1963" s="60">
        <v>20</v>
      </c>
      <c r="D1963" s="60">
        <v>9224</v>
      </c>
      <c r="E1963" s="60">
        <f t="shared" si="30"/>
        <v>9224</v>
      </c>
    </row>
    <row r="1964" spans="1:5" x14ac:dyDescent="0.25">
      <c r="A1964" s="60">
        <v>242</v>
      </c>
      <c r="B1964" s="60" t="s">
        <v>119</v>
      </c>
      <c r="C1964" s="60">
        <v>50</v>
      </c>
      <c r="D1964" s="60">
        <v>0</v>
      </c>
      <c r="E1964" s="60">
        <f t="shared" si="30"/>
        <v>0</v>
      </c>
    </row>
    <row r="1965" spans="1:5" x14ac:dyDescent="0.25">
      <c r="A1965" s="60">
        <v>242</v>
      </c>
      <c r="B1965" s="60" t="s">
        <v>119</v>
      </c>
      <c r="C1965" s="60">
        <v>70</v>
      </c>
      <c r="D1965" s="60">
        <v>0</v>
      </c>
      <c r="E1965" s="60">
        <f t="shared" si="30"/>
        <v>0</v>
      </c>
    </row>
    <row r="1966" spans="1:5" x14ac:dyDescent="0.25">
      <c r="A1966" s="60">
        <v>242</v>
      </c>
      <c r="B1966" s="60" t="s">
        <v>119</v>
      </c>
      <c r="C1966" s="60">
        <v>100</v>
      </c>
      <c r="D1966" s="60">
        <v>0</v>
      </c>
      <c r="E1966" s="60">
        <f t="shared" si="30"/>
        <v>0</v>
      </c>
    </row>
    <row r="1967" spans="1:5" x14ac:dyDescent="0.25">
      <c r="A1967" s="60">
        <v>242</v>
      </c>
      <c r="B1967" s="60" t="s">
        <v>119</v>
      </c>
      <c r="C1967" s="60">
        <v>110</v>
      </c>
      <c r="D1967" s="60">
        <v>17257640</v>
      </c>
      <c r="E1967" s="60">
        <f t="shared" si="30"/>
        <v>-17257640</v>
      </c>
    </row>
    <row r="1968" spans="1:5" x14ac:dyDescent="0.25">
      <c r="A1968" s="60">
        <v>242</v>
      </c>
      <c r="B1968" s="60" t="s">
        <v>119</v>
      </c>
      <c r="C1968" s="60">
        <v>120</v>
      </c>
      <c r="D1968" s="60">
        <v>0</v>
      </c>
      <c r="E1968" s="60">
        <f t="shared" si="30"/>
        <v>0</v>
      </c>
    </row>
    <row r="1969" spans="1:5" x14ac:dyDescent="0.25">
      <c r="A1969" s="60">
        <v>242</v>
      </c>
      <c r="B1969" s="60" t="s">
        <v>119</v>
      </c>
      <c r="C1969" s="60">
        <v>140</v>
      </c>
      <c r="D1969" s="60">
        <v>58620</v>
      </c>
      <c r="E1969" s="60">
        <f t="shared" si="30"/>
        <v>-58620</v>
      </c>
    </row>
    <row r="1970" spans="1:5" x14ac:dyDescent="0.25">
      <c r="A1970" s="60">
        <v>242</v>
      </c>
      <c r="B1970" s="60" t="s">
        <v>119</v>
      </c>
      <c r="C1970" s="60">
        <v>141</v>
      </c>
      <c r="D1970" s="60">
        <v>2140980</v>
      </c>
      <c r="E1970" s="60">
        <f t="shared" si="30"/>
        <v>-2140980</v>
      </c>
    </row>
    <row r="1971" spans="1:5" x14ac:dyDescent="0.25">
      <c r="A1971" s="60">
        <v>242</v>
      </c>
      <c r="B1971" s="60" t="s">
        <v>119</v>
      </c>
      <c r="C1971" s="60">
        <v>200</v>
      </c>
      <c r="D1971" s="60">
        <v>118559</v>
      </c>
      <c r="E1971" s="60">
        <f t="shared" si="30"/>
        <v>-118559</v>
      </c>
    </row>
    <row r="1972" spans="1:5" x14ac:dyDescent="0.25">
      <c r="A1972" s="60">
        <v>242</v>
      </c>
      <c r="B1972" s="60" t="s">
        <v>119</v>
      </c>
      <c r="C1972" s="60">
        <v>210</v>
      </c>
      <c r="D1972" s="60">
        <v>78578</v>
      </c>
      <c r="E1972" s="60">
        <f t="shared" si="30"/>
        <v>-78578</v>
      </c>
    </row>
    <row r="1973" spans="1:5" x14ac:dyDescent="0.25">
      <c r="A1973" s="60">
        <v>242</v>
      </c>
      <c r="B1973" s="60" t="s">
        <v>119</v>
      </c>
      <c r="C1973" s="60">
        <v>220</v>
      </c>
      <c r="D1973" s="60">
        <v>0</v>
      </c>
      <c r="E1973" s="60">
        <f t="shared" si="30"/>
        <v>0</v>
      </c>
    </row>
    <row r="1974" spans="1:5" x14ac:dyDescent="0.25">
      <c r="A1974" s="60">
        <v>242</v>
      </c>
      <c r="B1974" s="60" t="s">
        <v>119</v>
      </c>
      <c r="C1974" s="60">
        <v>230</v>
      </c>
      <c r="D1974" s="60">
        <v>66022</v>
      </c>
      <c r="E1974" s="60">
        <f t="shared" si="30"/>
        <v>-66022</v>
      </c>
    </row>
    <row r="1975" spans="1:5" x14ac:dyDescent="0.25">
      <c r="A1975" s="60">
        <v>242</v>
      </c>
      <c r="B1975" s="60" t="s">
        <v>119</v>
      </c>
      <c r="C1975" s="60">
        <v>298</v>
      </c>
      <c r="D1975" s="60">
        <v>0</v>
      </c>
      <c r="E1975" s="60">
        <f t="shared" si="30"/>
        <v>0</v>
      </c>
    </row>
    <row r="1976" spans="1:5" x14ac:dyDescent="0.25">
      <c r="A1976" s="60">
        <v>242</v>
      </c>
      <c r="B1976" s="60" t="s">
        <v>120</v>
      </c>
      <c r="C1976" s="60">
        <v>1</v>
      </c>
      <c r="D1976" s="60">
        <v>2873889</v>
      </c>
      <c r="E1976" s="60">
        <f t="shared" si="30"/>
        <v>2873889</v>
      </c>
    </row>
    <row r="1977" spans="1:5" x14ac:dyDescent="0.25">
      <c r="A1977" s="60">
        <v>242</v>
      </c>
      <c r="B1977" s="60" t="s">
        <v>120</v>
      </c>
      <c r="C1977" s="60">
        <v>10</v>
      </c>
      <c r="D1977" s="60">
        <v>35433020</v>
      </c>
      <c r="E1977" s="60">
        <f t="shared" si="30"/>
        <v>35433020</v>
      </c>
    </row>
    <row r="1978" spans="1:5" x14ac:dyDescent="0.25">
      <c r="A1978" s="60">
        <v>242</v>
      </c>
      <c r="B1978" s="60" t="s">
        <v>120</v>
      </c>
      <c r="C1978" s="60">
        <v>20</v>
      </c>
      <c r="D1978" s="60">
        <v>0</v>
      </c>
      <c r="E1978" s="60">
        <f t="shared" si="30"/>
        <v>0</v>
      </c>
    </row>
    <row r="1979" spans="1:5" x14ac:dyDescent="0.25">
      <c r="A1979" s="60">
        <v>242</v>
      </c>
      <c r="B1979" s="60" t="s">
        <v>120</v>
      </c>
      <c r="C1979" s="60">
        <v>50</v>
      </c>
      <c r="D1979" s="60">
        <v>20542580</v>
      </c>
      <c r="E1979" s="60">
        <f t="shared" si="30"/>
        <v>20542580</v>
      </c>
    </row>
    <row r="1980" spans="1:5" x14ac:dyDescent="0.25">
      <c r="A1980" s="60">
        <v>242</v>
      </c>
      <c r="B1980" s="60" t="s">
        <v>120</v>
      </c>
      <c r="C1980" s="60">
        <v>70</v>
      </c>
      <c r="D1980" s="60">
        <v>722007</v>
      </c>
      <c r="E1980" s="60">
        <f t="shared" si="30"/>
        <v>722007</v>
      </c>
    </row>
    <row r="1981" spans="1:5" x14ac:dyDescent="0.25">
      <c r="A1981" s="60">
        <v>242</v>
      </c>
      <c r="B1981" s="60" t="s">
        <v>120</v>
      </c>
      <c r="C1981" s="60">
        <v>110</v>
      </c>
      <c r="D1981" s="60">
        <v>8778160</v>
      </c>
      <c r="E1981" s="60">
        <f t="shared" si="30"/>
        <v>-8778160</v>
      </c>
    </row>
    <row r="1982" spans="1:5" x14ac:dyDescent="0.25">
      <c r="A1982" s="60">
        <v>242</v>
      </c>
      <c r="B1982" s="60" t="s">
        <v>120</v>
      </c>
      <c r="C1982" s="60">
        <v>120</v>
      </c>
      <c r="D1982" s="60">
        <v>7001072</v>
      </c>
      <c r="E1982" s="60">
        <f t="shared" si="30"/>
        <v>-7001072</v>
      </c>
    </row>
    <row r="1983" spans="1:5" x14ac:dyDescent="0.25">
      <c r="A1983" s="60">
        <v>242</v>
      </c>
      <c r="B1983" s="60" t="s">
        <v>120</v>
      </c>
      <c r="C1983" s="60">
        <v>130</v>
      </c>
      <c r="D1983" s="60">
        <v>506688</v>
      </c>
      <c r="E1983" s="60">
        <f t="shared" si="30"/>
        <v>-506688</v>
      </c>
    </row>
    <row r="1984" spans="1:5" x14ac:dyDescent="0.25">
      <c r="A1984" s="60">
        <v>242</v>
      </c>
      <c r="B1984" s="60" t="s">
        <v>120</v>
      </c>
      <c r="C1984" s="60">
        <v>140</v>
      </c>
      <c r="D1984" s="60">
        <v>18233080</v>
      </c>
      <c r="E1984" s="60">
        <f t="shared" si="30"/>
        <v>-18233080</v>
      </c>
    </row>
    <row r="1985" spans="1:5" x14ac:dyDescent="0.25">
      <c r="A1985" s="60">
        <v>242</v>
      </c>
      <c r="B1985" s="60" t="s">
        <v>120</v>
      </c>
      <c r="C1985" s="60">
        <v>141</v>
      </c>
      <c r="D1985" s="60">
        <v>11252480</v>
      </c>
      <c r="E1985" s="60">
        <f t="shared" si="30"/>
        <v>-11252480</v>
      </c>
    </row>
    <row r="1986" spans="1:5" x14ac:dyDescent="0.25">
      <c r="A1986" s="60">
        <v>242</v>
      </c>
      <c r="B1986" s="60" t="s">
        <v>120</v>
      </c>
      <c r="C1986" s="60">
        <v>150</v>
      </c>
      <c r="D1986" s="60">
        <v>0</v>
      </c>
      <c r="E1986" s="60">
        <f t="shared" ref="E1986:E2049" si="31">IF(C1986&lt;100,D1986,D1986*-1)</f>
        <v>0</v>
      </c>
    </row>
    <row r="1987" spans="1:5" x14ac:dyDescent="0.25">
      <c r="A1987" s="60">
        <v>242</v>
      </c>
      <c r="B1987" s="60" t="s">
        <v>120</v>
      </c>
      <c r="C1987" s="60">
        <v>200</v>
      </c>
      <c r="D1987" s="60">
        <v>346850</v>
      </c>
      <c r="E1987" s="60">
        <f t="shared" si="31"/>
        <v>-346850</v>
      </c>
    </row>
    <row r="1988" spans="1:5" x14ac:dyDescent="0.25">
      <c r="A1988" s="60">
        <v>242</v>
      </c>
      <c r="B1988" s="60" t="s">
        <v>120</v>
      </c>
      <c r="C1988" s="60">
        <v>210</v>
      </c>
      <c r="D1988" s="60">
        <v>18353</v>
      </c>
      <c r="E1988" s="60">
        <f t="shared" si="31"/>
        <v>-18353</v>
      </c>
    </row>
    <row r="1989" spans="1:5" x14ac:dyDescent="0.25">
      <c r="A1989" s="60">
        <v>242</v>
      </c>
      <c r="B1989" s="60" t="s">
        <v>120</v>
      </c>
      <c r="C1989" s="60">
        <v>220</v>
      </c>
      <c r="D1989" s="60">
        <v>0</v>
      </c>
      <c r="E1989" s="60">
        <f t="shared" si="31"/>
        <v>0</v>
      </c>
    </row>
    <row r="1990" spans="1:5" x14ac:dyDescent="0.25">
      <c r="A1990" s="60">
        <v>242</v>
      </c>
      <c r="B1990" s="60" t="s">
        <v>120</v>
      </c>
      <c r="C1990" s="60">
        <v>230</v>
      </c>
      <c r="D1990" s="60">
        <v>76784</v>
      </c>
      <c r="E1990" s="60">
        <f t="shared" si="31"/>
        <v>-76784</v>
      </c>
    </row>
    <row r="1991" spans="1:5" x14ac:dyDescent="0.25">
      <c r="A1991" s="60">
        <v>242</v>
      </c>
      <c r="B1991" s="60" t="s">
        <v>120</v>
      </c>
      <c r="C1991" s="60">
        <v>298</v>
      </c>
      <c r="D1991" s="60">
        <v>0</v>
      </c>
      <c r="E1991" s="60">
        <f t="shared" si="31"/>
        <v>0</v>
      </c>
    </row>
    <row r="1992" spans="1:5" x14ac:dyDescent="0.25">
      <c r="A1992" s="60">
        <v>242</v>
      </c>
      <c r="B1992" s="60" t="s">
        <v>121</v>
      </c>
      <c r="C1992" s="60">
        <v>1</v>
      </c>
      <c r="D1992" s="60">
        <v>0</v>
      </c>
      <c r="E1992" s="60">
        <f t="shared" si="31"/>
        <v>0</v>
      </c>
    </row>
    <row r="1993" spans="1:5" x14ac:dyDescent="0.25">
      <c r="A1993" s="60">
        <v>242</v>
      </c>
      <c r="B1993" s="60" t="s">
        <v>121</v>
      </c>
      <c r="C1993" s="60">
        <v>10</v>
      </c>
      <c r="D1993" s="60">
        <v>0</v>
      </c>
      <c r="E1993" s="60">
        <f t="shared" si="31"/>
        <v>0</v>
      </c>
    </row>
    <row r="1994" spans="1:5" x14ac:dyDescent="0.25">
      <c r="A1994" s="60">
        <v>242</v>
      </c>
      <c r="B1994" s="60" t="s">
        <v>121</v>
      </c>
      <c r="C1994" s="60">
        <v>20</v>
      </c>
      <c r="D1994" s="60">
        <v>0</v>
      </c>
      <c r="E1994" s="60">
        <f t="shared" si="31"/>
        <v>0</v>
      </c>
    </row>
    <row r="1995" spans="1:5" x14ac:dyDescent="0.25">
      <c r="A1995" s="60">
        <v>242</v>
      </c>
      <c r="B1995" s="60" t="s">
        <v>121</v>
      </c>
      <c r="C1995" s="60">
        <v>110</v>
      </c>
      <c r="D1995" s="60">
        <v>0</v>
      </c>
      <c r="E1995" s="60">
        <f t="shared" si="31"/>
        <v>0</v>
      </c>
    </row>
    <row r="1996" spans="1:5" x14ac:dyDescent="0.25">
      <c r="A1996" s="60">
        <v>242</v>
      </c>
      <c r="B1996" s="60" t="s">
        <v>121</v>
      </c>
      <c r="C1996" s="60">
        <v>140</v>
      </c>
      <c r="D1996" s="60">
        <v>0</v>
      </c>
      <c r="E1996" s="60">
        <f t="shared" si="31"/>
        <v>0</v>
      </c>
    </row>
    <row r="1997" spans="1:5" x14ac:dyDescent="0.25">
      <c r="A1997" s="60">
        <v>242</v>
      </c>
      <c r="B1997" s="60" t="s">
        <v>121</v>
      </c>
      <c r="C1997" s="60">
        <v>210</v>
      </c>
      <c r="D1997" s="60">
        <v>0</v>
      </c>
      <c r="E1997" s="60">
        <f t="shared" si="31"/>
        <v>0</v>
      </c>
    </row>
    <row r="1998" spans="1:5" x14ac:dyDescent="0.25">
      <c r="A1998" s="60">
        <v>245</v>
      </c>
      <c r="B1998" s="60" t="s">
        <v>117</v>
      </c>
      <c r="C1998" s="60">
        <v>1</v>
      </c>
      <c r="D1998" s="60">
        <v>0</v>
      </c>
      <c r="E1998" s="60">
        <f t="shared" si="31"/>
        <v>0</v>
      </c>
    </row>
    <row r="1999" spans="1:5" x14ac:dyDescent="0.25">
      <c r="A1999" s="60">
        <v>245</v>
      </c>
      <c r="B1999" s="60" t="s">
        <v>117</v>
      </c>
      <c r="C1999" s="60">
        <v>50</v>
      </c>
      <c r="D1999" s="60">
        <v>0</v>
      </c>
      <c r="E1999" s="60">
        <f t="shared" si="31"/>
        <v>0</v>
      </c>
    </row>
    <row r="2000" spans="1:5" x14ac:dyDescent="0.25">
      <c r="A2000" s="60">
        <v>245</v>
      </c>
      <c r="B2000" s="60" t="s">
        <v>117</v>
      </c>
      <c r="C2000" s="60">
        <v>70</v>
      </c>
      <c r="D2000" s="60">
        <v>0</v>
      </c>
      <c r="E2000" s="60">
        <f t="shared" si="31"/>
        <v>0</v>
      </c>
    </row>
    <row r="2001" spans="1:5" x14ac:dyDescent="0.25">
      <c r="A2001" s="60">
        <v>245</v>
      </c>
      <c r="B2001" s="60" t="s">
        <v>117</v>
      </c>
      <c r="C2001" s="60">
        <v>110</v>
      </c>
      <c r="D2001" s="60">
        <v>0</v>
      </c>
      <c r="E2001" s="60">
        <f t="shared" si="31"/>
        <v>0</v>
      </c>
    </row>
    <row r="2002" spans="1:5" x14ac:dyDescent="0.25">
      <c r="A2002" s="60">
        <v>245</v>
      </c>
      <c r="B2002" s="60" t="s">
        <v>117</v>
      </c>
      <c r="C2002" s="60">
        <v>140</v>
      </c>
      <c r="D2002" s="60">
        <v>0</v>
      </c>
      <c r="E2002" s="60">
        <f t="shared" si="31"/>
        <v>0</v>
      </c>
    </row>
    <row r="2003" spans="1:5" x14ac:dyDescent="0.25">
      <c r="A2003" s="60">
        <v>245</v>
      </c>
      <c r="B2003" s="60" t="s">
        <v>117</v>
      </c>
      <c r="C2003" s="60">
        <v>210</v>
      </c>
      <c r="D2003" s="60">
        <v>0</v>
      </c>
      <c r="E2003" s="60">
        <f t="shared" si="31"/>
        <v>0</v>
      </c>
    </row>
    <row r="2004" spans="1:5" x14ac:dyDescent="0.25">
      <c r="A2004" s="60">
        <v>245</v>
      </c>
      <c r="B2004" s="60" t="s">
        <v>119</v>
      </c>
      <c r="C2004" s="60">
        <v>50</v>
      </c>
      <c r="D2004" s="60">
        <v>0</v>
      </c>
      <c r="E2004" s="60">
        <f t="shared" si="31"/>
        <v>0</v>
      </c>
    </row>
    <row r="2005" spans="1:5" x14ac:dyDescent="0.25">
      <c r="A2005" s="60">
        <v>245</v>
      </c>
      <c r="B2005" s="60" t="s">
        <v>119</v>
      </c>
      <c r="C2005" s="60">
        <v>110</v>
      </c>
      <c r="D2005" s="60">
        <v>0</v>
      </c>
      <c r="E2005" s="60">
        <f t="shared" si="31"/>
        <v>0</v>
      </c>
    </row>
    <row r="2006" spans="1:5" x14ac:dyDescent="0.25">
      <c r="A2006" s="60">
        <v>245</v>
      </c>
      <c r="B2006" s="60" t="s">
        <v>119</v>
      </c>
      <c r="C2006" s="60">
        <v>141</v>
      </c>
      <c r="D2006" s="60">
        <v>0</v>
      </c>
      <c r="E2006" s="60">
        <f t="shared" si="31"/>
        <v>0</v>
      </c>
    </row>
    <row r="2007" spans="1:5" x14ac:dyDescent="0.25">
      <c r="A2007" s="60">
        <v>245</v>
      </c>
      <c r="B2007" s="60" t="s">
        <v>119</v>
      </c>
      <c r="C2007" s="60">
        <v>210</v>
      </c>
      <c r="D2007" s="60">
        <v>0</v>
      </c>
      <c r="E2007" s="60">
        <f t="shared" si="31"/>
        <v>0</v>
      </c>
    </row>
    <row r="2008" spans="1:5" x14ac:dyDescent="0.25">
      <c r="A2008" s="60">
        <v>245</v>
      </c>
      <c r="B2008" s="60" t="s">
        <v>119</v>
      </c>
      <c r="C2008" s="60">
        <v>230</v>
      </c>
      <c r="D2008" s="60">
        <v>0</v>
      </c>
      <c r="E2008" s="60">
        <f t="shared" si="31"/>
        <v>0</v>
      </c>
    </row>
    <row r="2009" spans="1:5" x14ac:dyDescent="0.25">
      <c r="A2009" s="60">
        <v>245</v>
      </c>
      <c r="B2009" s="60" t="s">
        <v>120</v>
      </c>
      <c r="C2009" s="60">
        <v>1</v>
      </c>
      <c r="D2009" s="60">
        <v>21627587</v>
      </c>
      <c r="E2009" s="60">
        <f t="shared" si="31"/>
        <v>21627587</v>
      </c>
    </row>
    <row r="2010" spans="1:5" x14ac:dyDescent="0.25">
      <c r="A2010" s="60">
        <v>245</v>
      </c>
      <c r="B2010" s="60" t="s">
        <v>120</v>
      </c>
      <c r="C2010" s="60">
        <v>10</v>
      </c>
      <c r="D2010" s="60">
        <v>3650220</v>
      </c>
      <c r="E2010" s="60">
        <f t="shared" si="31"/>
        <v>3650220</v>
      </c>
    </row>
    <row r="2011" spans="1:5" x14ac:dyDescent="0.25">
      <c r="A2011" s="60">
        <v>245</v>
      </c>
      <c r="B2011" s="60" t="s">
        <v>120</v>
      </c>
      <c r="C2011" s="60">
        <v>50</v>
      </c>
      <c r="D2011" s="60">
        <v>17819540</v>
      </c>
      <c r="E2011" s="60">
        <f t="shared" si="31"/>
        <v>17819540</v>
      </c>
    </row>
    <row r="2012" spans="1:5" x14ac:dyDescent="0.25">
      <c r="A2012" s="60">
        <v>245</v>
      </c>
      <c r="B2012" s="60" t="s">
        <v>120</v>
      </c>
      <c r="C2012" s="60">
        <v>70</v>
      </c>
      <c r="D2012" s="60">
        <v>-722007</v>
      </c>
      <c r="E2012" s="60">
        <f t="shared" si="31"/>
        <v>-722007</v>
      </c>
    </row>
    <row r="2013" spans="1:5" x14ac:dyDescent="0.25">
      <c r="A2013" s="60">
        <v>245</v>
      </c>
      <c r="B2013" s="60" t="s">
        <v>120</v>
      </c>
      <c r="C2013" s="60">
        <v>110</v>
      </c>
      <c r="D2013" s="60">
        <v>4543440</v>
      </c>
      <c r="E2013" s="60">
        <f t="shared" si="31"/>
        <v>-4543440</v>
      </c>
    </row>
    <row r="2014" spans="1:5" x14ac:dyDescent="0.25">
      <c r="A2014" s="60">
        <v>245</v>
      </c>
      <c r="B2014" s="60" t="s">
        <v>120</v>
      </c>
      <c r="C2014" s="60">
        <v>120</v>
      </c>
      <c r="D2014" s="60">
        <v>892620</v>
      </c>
      <c r="E2014" s="60">
        <f t="shared" si="31"/>
        <v>-892620</v>
      </c>
    </row>
    <row r="2015" spans="1:5" x14ac:dyDescent="0.25">
      <c r="A2015" s="60">
        <v>245</v>
      </c>
      <c r="B2015" s="60" t="s">
        <v>120</v>
      </c>
      <c r="C2015" s="60">
        <v>130</v>
      </c>
      <c r="D2015" s="60">
        <v>9760</v>
      </c>
      <c r="E2015" s="60">
        <f t="shared" si="31"/>
        <v>-9760</v>
      </c>
    </row>
    <row r="2016" spans="1:5" x14ac:dyDescent="0.25">
      <c r="A2016" s="60">
        <v>245</v>
      </c>
      <c r="B2016" s="60" t="s">
        <v>120</v>
      </c>
      <c r="C2016" s="60">
        <v>140</v>
      </c>
      <c r="D2016" s="60">
        <v>20415480</v>
      </c>
      <c r="E2016" s="60">
        <f t="shared" si="31"/>
        <v>-20415480</v>
      </c>
    </row>
    <row r="2017" spans="1:5" x14ac:dyDescent="0.25">
      <c r="A2017" s="60">
        <v>245</v>
      </c>
      <c r="B2017" s="60" t="s">
        <v>120</v>
      </c>
      <c r="C2017" s="60">
        <v>141</v>
      </c>
      <c r="D2017" s="60">
        <v>2905120</v>
      </c>
      <c r="E2017" s="60">
        <f t="shared" si="31"/>
        <v>-2905120</v>
      </c>
    </row>
    <row r="2018" spans="1:5" x14ac:dyDescent="0.25">
      <c r="A2018" s="60">
        <v>245</v>
      </c>
      <c r="B2018" s="60" t="s">
        <v>120</v>
      </c>
      <c r="C2018" s="60">
        <v>200</v>
      </c>
      <c r="D2018" s="60">
        <v>36502</v>
      </c>
      <c r="E2018" s="60">
        <f t="shared" si="31"/>
        <v>-36502</v>
      </c>
    </row>
    <row r="2019" spans="1:5" x14ac:dyDescent="0.25">
      <c r="A2019" s="60">
        <v>245</v>
      </c>
      <c r="B2019" s="60" t="s">
        <v>120</v>
      </c>
      <c r="C2019" s="60">
        <v>210</v>
      </c>
      <c r="D2019" s="60">
        <v>0</v>
      </c>
      <c r="E2019" s="60">
        <f t="shared" si="31"/>
        <v>0</v>
      </c>
    </row>
    <row r="2020" spans="1:5" x14ac:dyDescent="0.25">
      <c r="A2020" s="60">
        <v>245</v>
      </c>
      <c r="B2020" s="60" t="s">
        <v>120</v>
      </c>
      <c r="C2020" s="60">
        <v>230</v>
      </c>
      <c r="D2020" s="60">
        <v>0</v>
      </c>
      <c r="E2020" s="60">
        <f t="shared" si="31"/>
        <v>0</v>
      </c>
    </row>
    <row r="2021" spans="1:5" x14ac:dyDescent="0.25">
      <c r="A2021" s="60">
        <v>252</v>
      </c>
      <c r="B2021" s="60" t="s">
        <v>117</v>
      </c>
      <c r="C2021" s="60">
        <v>1</v>
      </c>
      <c r="D2021" s="60">
        <v>2718412</v>
      </c>
      <c r="E2021" s="60">
        <f t="shared" si="31"/>
        <v>2718412</v>
      </c>
    </row>
    <row r="2022" spans="1:5" x14ac:dyDescent="0.25">
      <c r="A2022" s="60">
        <v>252</v>
      </c>
      <c r="B2022" s="60" t="s">
        <v>117</v>
      </c>
      <c r="C2022" s="60">
        <v>10</v>
      </c>
      <c r="D2022" s="60">
        <v>8459420</v>
      </c>
      <c r="E2022" s="60">
        <f t="shared" si="31"/>
        <v>8459420</v>
      </c>
    </row>
    <row r="2023" spans="1:5" x14ac:dyDescent="0.25">
      <c r="A2023" s="60">
        <v>252</v>
      </c>
      <c r="B2023" s="60" t="s">
        <v>117</v>
      </c>
      <c r="C2023" s="60">
        <v>20</v>
      </c>
      <c r="D2023" s="60">
        <v>0</v>
      </c>
      <c r="E2023" s="60">
        <f t="shared" si="31"/>
        <v>0</v>
      </c>
    </row>
    <row r="2024" spans="1:5" x14ac:dyDescent="0.25">
      <c r="A2024" s="60">
        <v>252</v>
      </c>
      <c r="B2024" s="60" t="s">
        <v>117</v>
      </c>
      <c r="C2024" s="60">
        <v>50</v>
      </c>
      <c r="D2024" s="60">
        <v>0</v>
      </c>
      <c r="E2024" s="60">
        <f t="shared" si="31"/>
        <v>0</v>
      </c>
    </row>
    <row r="2025" spans="1:5" x14ac:dyDescent="0.25">
      <c r="A2025" s="60">
        <v>252</v>
      </c>
      <c r="B2025" s="60" t="s">
        <v>117</v>
      </c>
      <c r="C2025" s="60">
        <v>70</v>
      </c>
      <c r="D2025" s="60">
        <v>0</v>
      </c>
      <c r="E2025" s="60">
        <f t="shared" si="31"/>
        <v>0</v>
      </c>
    </row>
    <row r="2026" spans="1:5" x14ac:dyDescent="0.25">
      <c r="A2026" s="60">
        <v>252</v>
      </c>
      <c r="B2026" s="60" t="s">
        <v>117</v>
      </c>
      <c r="C2026" s="60">
        <v>110</v>
      </c>
      <c r="D2026" s="60">
        <v>0</v>
      </c>
      <c r="E2026" s="60">
        <f t="shared" si="31"/>
        <v>0</v>
      </c>
    </row>
    <row r="2027" spans="1:5" x14ac:dyDescent="0.25">
      <c r="A2027" s="60">
        <v>252</v>
      </c>
      <c r="B2027" s="60" t="s">
        <v>117</v>
      </c>
      <c r="C2027" s="60">
        <v>120</v>
      </c>
      <c r="D2027" s="60">
        <v>2320</v>
      </c>
      <c r="E2027" s="60">
        <f t="shared" si="31"/>
        <v>-2320</v>
      </c>
    </row>
    <row r="2028" spans="1:5" x14ac:dyDescent="0.25">
      <c r="A2028" s="60">
        <v>252</v>
      </c>
      <c r="B2028" s="60" t="s">
        <v>117</v>
      </c>
      <c r="C2028" s="60">
        <v>130</v>
      </c>
      <c r="D2028" s="60">
        <v>0</v>
      </c>
      <c r="E2028" s="60">
        <f t="shared" si="31"/>
        <v>0</v>
      </c>
    </row>
    <row r="2029" spans="1:5" x14ac:dyDescent="0.25">
      <c r="A2029" s="60">
        <v>252</v>
      </c>
      <c r="B2029" s="60" t="s">
        <v>117</v>
      </c>
      <c r="C2029" s="60">
        <v>140</v>
      </c>
      <c r="D2029" s="60">
        <v>8222680</v>
      </c>
      <c r="E2029" s="60">
        <f t="shared" si="31"/>
        <v>-8222680</v>
      </c>
    </row>
    <row r="2030" spans="1:5" x14ac:dyDescent="0.25">
      <c r="A2030" s="60">
        <v>252</v>
      </c>
      <c r="B2030" s="60" t="s">
        <v>117</v>
      </c>
      <c r="C2030" s="60">
        <v>200</v>
      </c>
      <c r="D2030" s="60">
        <v>42255</v>
      </c>
      <c r="E2030" s="60">
        <f t="shared" si="31"/>
        <v>-42255</v>
      </c>
    </row>
    <row r="2031" spans="1:5" x14ac:dyDescent="0.25">
      <c r="A2031" s="60">
        <v>252</v>
      </c>
      <c r="B2031" s="60" t="s">
        <v>117</v>
      </c>
      <c r="C2031" s="60">
        <v>210</v>
      </c>
      <c r="D2031" s="60">
        <v>183755</v>
      </c>
      <c r="E2031" s="60">
        <f t="shared" si="31"/>
        <v>-183755</v>
      </c>
    </row>
    <row r="2032" spans="1:5" x14ac:dyDescent="0.25">
      <c r="A2032" s="60">
        <v>252</v>
      </c>
      <c r="B2032" s="60" t="s">
        <v>117</v>
      </c>
      <c r="C2032" s="60">
        <v>220</v>
      </c>
      <c r="D2032" s="60">
        <v>0</v>
      </c>
      <c r="E2032" s="60">
        <f t="shared" si="31"/>
        <v>0</v>
      </c>
    </row>
    <row r="2033" spans="1:5" x14ac:dyDescent="0.25">
      <c r="A2033" s="60">
        <v>252</v>
      </c>
      <c r="B2033" s="60" t="s">
        <v>117</v>
      </c>
      <c r="C2033" s="60">
        <v>230</v>
      </c>
      <c r="D2033" s="60">
        <v>0</v>
      </c>
      <c r="E2033" s="60">
        <f t="shared" si="31"/>
        <v>0</v>
      </c>
    </row>
    <row r="2034" spans="1:5" x14ac:dyDescent="0.25">
      <c r="A2034" s="60">
        <v>252</v>
      </c>
      <c r="B2034" s="60" t="s">
        <v>117</v>
      </c>
      <c r="C2034" s="60">
        <v>298</v>
      </c>
      <c r="D2034" s="60">
        <v>0</v>
      </c>
      <c r="E2034" s="60">
        <f t="shared" si="31"/>
        <v>0</v>
      </c>
    </row>
    <row r="2035" spans="1:5" x14ac:dyDescent="0.25">
      <c r="A2035" s="60">
        <v>252</v>
      </c>
      <c r="B2035" s="60" t="s">
        <v>118</v>
      </c>
      <c r="C2035" s="60">
        <v>1</v>
      </c>
      <c r="D2035" s="60">
        <v>-81712</v>
      </c>
      <c r="E2035" s="60">
        <f t="shared" si="31"/>
        <v>-81712</v>
      </c>
    </row>
    <row r="2036" spans="1:5" x14ac:dyDescent="0.25">
      <c r="A2036" s="60">
        <v>252</v>
      </c>
      <c r="B2036" s="60" t="s">
        <v>118</v>
      </c>
      <c r="C2036" s="60">
        <v>10</v>
      </c>
      <c r="D2036" s="60">
        <v>1242460</v>
      </c>
      <c r="E2036" s="60">
        <f t="shared" si="31"/>
        <v>1242460</v>
      </c>
    </row>
    <row r="2037" spans="1:5" x14ac:dyDescent="0.25">
      <c r="A2037" s="60">
        <v>252</v>
      </c>
      <c r="B2037" s="60" t="s">
        <v>118</v>
      </c>
      <c r="C2037" s="60">
        <v>20</v>
      </c>
      <c r="D2037" s="60">
        <v>124538</v>
      </c>
      <c r="E2037" s="60">
        <f t="shared" si="31"/>
        <v>124538</v>
      </c>
    </row>
    <row r="2038" spans="1:5" x14ac:dyDescent="0.25">
      <c r="A2038" s="60">
        <v>252</v>
      </c>
      <c r="B2038" s="60" t="s">
        <v>118</v>
      </c>
      <c r="C2038" s="60">
        <v>70</v>
      </c>
      <c r="D2038" s="60">
        <v>0</v>
      </c>
      <c r="E2038" s="60">
        <f t="shared" si="31"/>
        <v>0</v>
      </c>
    </row>
    <row r="2039" spans="1:5" x14ac:dyDescent="0.25">
      <c r="A2039" s="60">
        <v>252</v>
      </c>
      <c r="B2039" s="60" t="s">
        <v>118</v>
      </c>
      <c r="C2039" s="60">
        <v>110</v>
      </c>
      <c r="D2039" s="60">
        <v>0</v>
      </c>
      <c r="E2039" s="60">
        <f t="shared" si="31"/>
        <v>0</v>
      </c>
    </row>
    <row r="2040" spans="1:5" x14ac:dyDescent="0.25">
      <c r="A2040" s="60">
        <v>252</v>
      </c>
      <c r="B2040" s="60" t="s">
        <v>118</v>
      </c>
      <c r="C2040" s="60">
        <v>120</v>
      </c>
      <c r="D2040" s="60">
        <v>4540</v>
      </c>
      <c r="E2040" s="60">
        <f t="shared" si="31"/>
        <v>-4540</v>
      </c>
    </row>
    <row r="2041" spans="1:5" x14ac:dyDescent="0.25">
      <c r="A2041" s="60">
        <v>252</v>
      </c>
      <c r="B2041" s="60" t="s">
        <v>118</v>
      </c>
      <c r="C2041" s="60">
        <v>130</v>
      </c>
      <c r="D2041" s="60">
        <v>4120</v>
      </c>
      <c r="E2041" s="60">
        <f t="shared" si="31"/>
        <v>-4120</v>
      </c>
    </row>
    <row r="2042" spans="1:5" x14ac:dyDescent="0.25">
      <c r="A2042" s="60">
        <v>252</v>
      </c>
      <c r="B2042" s="60" t="s">
        <v>118</v>
      </c>
      <c r="C2042" s="60">
        <v>140</v>
      </c>
      <c r="D2042" s="60">
        <v>26660</v>
      </c>
      <c r="E2042" s="60">
        <f t="shared" si="31"/>
        <v>-26660</v>
      </c>
    </row>
    <row r="2043" spans="1:5" x14ac:dyDescent="0.25">
      <c r="A2043" s="60">
        <v>252</v>
      </c>
      <c r="B2043" s="60" t="s">
        <v>118</v>
      </c>
      <c r="C2043" s="60">
        <v>141</v>
      </c>
      <c r="D2043" s="60">
        <v>1235300</v>
      </c>
      <c r="E2043" s="60">
        <f t="shared" si="31"/>
        <v>-1235300</v>
      </c>
    </row>
    <row r="2044" spans="1:5" x14ac:dyDescent="0.25">
      <c r="A2044" s="60">
        <v>252</v>
      </c>
      <c r="B2044" s="60" t="s">
        <v>118</v>
      </c>
      <c r="C2044" s="60">
        <v>200</v>
      </c>
      <c r="D2044" s="60">
        <v>6212</v>
      </c>
      <c r="E2044" s="60">
        <f t="shared" si="31"/>
        <v>-6212</v>
      </c>
    </row>
    <row r="2045" spans="1:5" x14ac:dyDescent="0.25">
      <c r="A2045" s="60">
        <v>252</v>
      </c>
      <c r="B2045" s="60" t="s">
        <v>118</v>
      </c>
      <c r="C2045" s="60">
        <v>210</v>
      </c>
      <c r="D2045" s="60">
        <v>0</v>
      </c>
      <c r="E2045" s="60">
        <f t="shared" si="31"/>
        <v>0</v>
      </c>
    </row>
    <row r="2046" spans="1:5" x14ac:dyDescent="0.25">
      <c r="A2046" s="60">
        <v>252</v>
      </c>
      <c r="B2046" s="60" t="s">
        <v>118</v>
      </c>
      <c r="C2046" s="60">
        <v>220</v>
      </c>
      <c r="D2046" s="60">
        <v>0</v>
      </c>
      <c r="E2046" s="60">
        <f t="shared" si="31"/>
        <v>0</v>
      </c>
    </row>
    <row r="2047" spans="1:5" x14ac:dyDescent="0.25">
      <c r="A2047" s="60">
        <v>252</v>
      </c>
      <c r="B2047" s="60" t="s">
        <v>118</v>
      </c>
      <c r="C2047" s="60">
        <v>230</v>
      </c>
      <c r="D2047" s="60">
        <v>8454</v>
      </c>
      <c r="E2047" s="60">
        <f t="shared" si="31"/>
        <v>-8454</v>
      </c>
    </row>
    <row r="2048" spans="1:5" x14ac:dyDescent="0.25">
      <c r="A2048" s="60">
        <v>252</v>
      </c>
      <c r="B2048" s="60" t="s">
        <v>118</v>
      </c>
      <c r="C2048" s="60">
        <v>298</v>
      </c>
      <c r="D2048" s="60">
        <v>0</v>
      </c>
      <c r="E2048" s="60">
        <f t="shared" si="31"/>
        <v>0</v>
      </c>
    </row>
    <row r="2049" spans="1:5" x14ac:dyDescent="0.25">
      <c r="A2049" s="60">
        <v>252</v>
      </c>
      <c r="B2049" s="60" t="s">
        <v>119</v>
      </c>
      <c r="C2049" s="60">
        <v>1</v>
      </c>
      <c r="D2049" s="60">
        <v>435380</v>
      </c>
      <c r="E2049" s="60">
        <f t="shared" si="31"/>
        <v>435380</v>
      </c>
    </row>
    <row r="2050" spans="1:5" x14ac:dyDescent="0.25">
      <c r="A2050" s="60">
        <v>252</v>
      </c>
      <c r="B2050" s="60" t="s">
        <v>119</v>
      </c>
      <c r="C2050" s="60">
        <v>10</v>
      </c>
      <c r="D2050" s="60">
        <v>17262400</v>
      </c>
      <c r="E2050" s="60">
        <f t="shared" ref="E2050:E2113" si="32">IF(C2050&lt;100,D2050,D2050*-1)</f>
        <v>17262400</v>
      </c>
    </row>
    <row r="2051" spans="1:5" x14ac:dyDescent="0.25">
      <c r="A2051" s="60">
        <v>252</v>
      </c>
      <c r="B2051" s="60" t="s">
        <v>119</v>
      </c>
      <c r="C2051" s="60">
        <v>20</v>
      </c>
      <c r="D2051" s="60">
        <v>39660</v>
      </c>
      <c r="E2051" s="60">
        <f t="shared" si="32"/>
        <v>39660</v>
      </c>
    </row>
    <row r="2052" spans="1:5" x14ac:dyDescent="0.25">
      <c r="A2052" s="60">
        <v>252</v>
      </c>
      <c r="B2052" s="60" t="s">
        <v>119</v>
      </c>
      <c r="C2052" s="60">
        <v>50</v>
      </c>
      <c r="D2052" s="60">
        <v>0</v>
      </c>
      <c r="E2052" s="60">
        <f t="shared" si="32"/>
        <v>0</v>
      </c>
    </row>
    <row r="2053" spans="1:5" x14ac:dyDescent="0.25">
      <c r="A2053" s="60">
        <v>252</v>
      </c>
      <c r="B2053" s="60" t="s">
        <v>119</v>
      </c>
      <c r="C2053" s="60">
        <v>70</v>
      </c>
      <c r="D2053" s="60">
        <v>0</v>
      </c>
      <c r="E2053" s="60">
        <f t="shared" si="32"/>
        <v>0</v>
      </c>
    </row>
    <row r="2054" spans="1:5" x14ac:dyDescent="0.25">
      <c r="A2054" s="60">
        <v>252</v>
      </c>
      <c r="B2054" s="60" t="s">
        <v>119</v>
      </c>
      <c r="C2054" s="60">
        <v>110</v>
      </c>
      <c r="D2054" s="60">
        <v>8117280</v>
      </c>
      <c r="E2054" s="60">
        <f t="shared" si="32"/>
        <v>-8117280</v>
      </c>
    </row>
    <row r="2055" spans="1:5" x14ac:dyDescent="0.25">
      <c r="A2055" s="60">
        <v>252</v>
      </c>
      <c r="B2055" s="60" t="s">
        <v>119</v>
      </c>
      <c r="C2055" s="60">
        <v>120</v>
      </c>
      <c r="D2055" s="60">
        <v>0</v>
      </c>
      <c r="E2055" s="60">
        <f t="shared" si="32"/>
        <v>0</v>
      </c>
    </row>
    <row r="2056" spans="1:5" x14ac:dyDescent="0.25">
      <c r="A2056" s="60">
        <v>252</v>
      </c>
      <c r="B2056" s="60" t="s">
        <v>119</v>
      </c>
      <c r="C2056" s="60">
        <v>130</v>
      </c>
      <c r="D2056" s="60">
        <v>0</v>
      </c>
      <c r="E2056" s="60">
        <f t="shared" si="32"/>
        <v>0</v>
      </c>
    </row>
    <row r="2057" spans="1:5" x14ac:dyDescent="0.25">
      <c r="A2057" s="60">
        <v>252</v>
      </c>
      <c r="B2057" s="60" t="s">
        <v>119</v>
      </c>
      <c r="C2057" s="60">
        <v>140</v>
      </c>
      <c r="D2057" s="60">
        <v>802600</v>
      </c>
      <c r="E2057" s="60">
        <f t="shared" si="32"/>
        <v>-802600</v>
      </c>
    </row>
    <row r="2058" spans="1:5" x14ac:dyDescent="0.25">
      <c r="A2058" s="60">
        <v>252</v>
      </c>
      <c r="B2058" s="60" t="s">
        <v>119</v>
      </c>
      <c r="C2058" s="60">
        <v>141</v>
      </c>
      <c r="D2058" s="60">
        <v>1531740</v>
      </c>
      <c r="E2058" s="60">
        <f t="shared" si="32"/>
        <v>-1531740</v>
      </c>
    </row>
    <row r="2059" spans="1:5" x14ac:dyDescent="0.25">
      <c r="A2059" s="60">
        <v>252</v>
      </c>
      <c r="B2059" s="60" t="s">
        <v>119</v>
      </c>
      <c r="C2059" s="60">
        <v>200</v>
      </c>
      <c r="D2059" s="60">
        <v>86270</v>
      </c>
      <c r="E2059" s="60">
        <f t="shared" si="32"/>
        <v>-86270</v>
      </c>
    </row>
    <row r="2060" spans="1:5" x14ac:dyDescent="0.25">
      <c r="A2060" s="60">
        <v>252</v>
      </c>
      <c r="B2060" s="60" t="s">
        <v>119</v>
      </c>
      <c r="C2060" s="60">
        <v>210</v>
      </c>
      <c r="D2060" s="60">
        <v>28526</v>
      </c>
      <c r="E2060" s="60">
        <f t="shared" si="32"/>
        <v>-28526</v>
      </c>
    </row>
    <row r="2061" spans="1:5" x14ac:dyDescent="0.25">
      <c r="A2061" s="60">
        <v>252</v>
      </c>
      <c r="B2061" s="60" t="s">
        <v>119</v>
      </c>
      <c r="C2061" s="60">
        <v>220</v>
      </c>
      <c r="D2061" s="60">
        <v>0</v>
      </c>
      <c r="E2061" s="60">
        <f t="shared" si="32"/>
        <v>0</v>
      </c>
    </row>
    <row r="2062" spans="1:5" x14ac:dyDescent="0.25">
      <c r="A2062" s="60">
        <v>252</v>
      </c>
      <c r="B2062" s="60" t="s">
        <v>119</v>
      </c>
      <c r="C2062" s="60">
        <v>230</v>
      </c>
      <c r="D2062" s="60">
        <v>83793</v>
      </c>
      <c r="E2062" s="60">
        <f t="shared" si="32"/>
        <v>-83793</v>
      </c>
    </row>
    <row r="2063" spans="1:5" x14ac:dyDescent="0.25">
      <c r="A2063" s="60">
        <v>252</v>
      </c>
      <c r="B2063" s="60" t="s">
        <v>119</v>
      </c>
      <c r="C2063" s="60">
        <v>270</v>
      </c>
      <c r="D2063" s="60">
        <v>0</v>
      </c>
      <c r="E2063" s="60">
        <f t="shared" si="32"/>
        <v>0</v>
      </c>
    </row>
    <row r="2064" spans="1:5" x14ac:dyDescent="0.25">
      <c r="A2064" s="60">
        <v>252</v>
      </c>
      <c r="B2064" s="60" t="s">
        <v>119</v>
      </c>
      <c r="C2064" s="60">
        <v>298</v>
      </c>
      <c r="D2064" s="60">
        <v>0</v>
      </c>
      <c r="E2064" s="60">
        <f t="shared" si="32"/>
        <v>0</v>
      </c>
    </row>
    <row r="2065" spans="1:5" x14ac:dyDescent="0.25">
      <c r="A2065" s="60">
        <v>252</v>
      </c>
      <c r="B2065" s="60" t="s">
        <v>120</v>
      </c>
      <c r="C2065" s="60">
        <v>1</v>
      </c>
      <c r="D2065" s="60">
        <v>593871</v>
      </c>
      <c r="E2065" s="60">
        <f t="shared" si="32"/>
        <v>593871</v>
      </c>
    </row>
    <row r="2066" spans="1:5" x14ac:dyDescent="0.25">
      <c r="A2066" s="60">
        <v>252</v>
      </c>
      <c r="B2066" s="60" t="s">
        <v>120</v>
      </c>
      <c r="C2066" s="60">
        <v>10</v>
      </c>
      <c r="D2066" s="60">
        <v>10436880</v>
      </c>
      <c r="E2066" s="60">
        <f t="shared" si="32"/>
        <v>10436880</v>
      </c>
    </row>
    <row r="2067" spans="1:5" x14ac:dyDescent="0.25">
      <c r="A2067" s="60">
        <v>252</v>
      </c>
      <c r="B2067" s="60" t="s">
        <v>120</v>
      </c>
      <c r="C2067" s="60">
        <v>20</v>
      </c>
      <c r="D2067" s="60">
        <v>0</v>
      </c>
      <c r="E2067" s="60">
        <f t="shared" si="32"/>
        <v>0</v>
      </c>
    </row>
    <row r="2068" spans="1:5" x14ac:dyDescent="0.25">
      <c r="A2068" s="60">
        <v>252</v>
      </c>
      <c r="B2068" s="60" t="s">
        <v>120</v>
      </c>
      <c r="C2068" s="60">
        <v>50</v>
      </c>
      <c r="D2068" s="60">
        <v>0</v>
      </c>
      <c r="E2068" s="60">
        <f t="shared" si="32"/>
        <v>0</v>
      </c>
    </row>
    <row r="2069" spans="1:5" x14ac:dyDescent="0.25">
      <c r="A2069" s="60">
        <v>252</v>
      </c>
      <c r="B2069" s="60" t="s">
        <v>120</v>
      </c>
      <c r="C2069" s="60">
        <v>70</v>
      </c>
      <c r="D2069" s="60">
        <v>0</v>
      </c>
      <c r="E2069" s="60">
        <f t="shared" si="32"/>
        <v>0</v>
      </c>
    </row>
    <row r="2070" spans="1:5" x14ac:dyDescent="0.25">
      <c r="A2070" s="60">
        <v>252</v>
      </c>
      <c r="B2070" s="60" t="s">
        <v>120</v>
      </c>
      <c r="C2070" s="60">
        <v>110</v>
      </c>
      <c r="D2070" s="60">
        <v>276000</v>
      </c>
      <c r="E2070" s="60">
        <f t="shared" si="32"/>
        <v>-276000</v>
      </c>
    </row>
    <row r="2071" spans="1:5" x14ac:dyDescent="0.25">
      <c r="A2071" s="60">
        <v>252</v>
      </c>
      <c r="B2071" s="60" t="s">
        <v>120</v>
      </c>
      <c r="C2071" s="60">
        <v>120</v>
      </c>
      <c r="D2071" s="60">
        <v>1081970</v>
      </c>
      <c r="E2071" s="60">
        <f t="shared" si="32"/>
        <v>-1081970</v>
      </c>
    </row>
    <row r="2072" spans="1:5" x14ac:dyDescent="0.25">
      <c r="A2072" s="60">
        <v>252</v>
      </c>
      <c r="B2072" s="60" t="s">
        <v>120</v>
      </c>
      <c r="C2072" s="60">
        <v>130</v>
      </c>
      <c r="D2072" s="60">
        <v>14700</v>
      </c>
      <c r="E2072" s="60">
        <f t="shared" si="32"/>
        <v>-14700</v>
      </c>
    </row>
    <row r="2073" spans="1:5" x14ac:dyDescent="0.25">
      <c r="A2073" s="60">
        <v>252</v>
      </c>
      <c r="B2073" s="60" t="s">
        <v>120</v>
      </c>
      <c r="C2073" s="60">
        <v>140</v>
      </c>
      <c r="D2073" s="60">
        <v>4509940</v>
      </c>
      <c r="E2073" s="60">
        <f t="shared" si="32"/>
        <v>-4509940</v>
      </c>
    </row>
    <row r="2074" spans="1:5" x14ac:dyDescent="0.25">
      <c r="A2074" s="60">
        <v>252</v>
      </c>
      <c r="B2074" s="60" t="s">
        <v>120</v>
      </c>
      <c r="C2074" s="60">
        <v>141</v>
      </c>
      <c r="D2074" s="60">
        <v>5015360</v>
      </c>
      <c r="E2074" s="60">
        <f t="shared" si="32"/>
        <v>-5015360</v>
      </c>
    </row>
    <row r="2075" spans="1:5" x14ac:dyDescent="0.25">
      <c r="A2075" s="60">
        <v>252</v>
      </c>
      <c r="B2075" s="60" t="s">
        <v>120</v>
      </c>
      <c r="C2075" s="60">
        <v>150</v>
      </c>
      <c r="D2075" s="60">
        <v>0</v>
      </c>
      <c r="E2075" s="60">
        <f t="shared" si="32"/>
        <v>0</v>
      </c>
    </row>
    <row r="2076" spans="1:5" x14ac:dyDescent="0.25">
      <c r="A2076" s="60">
        <v>252</v>
      </c>
      <c r="B2076" s="60" t="s">
        <v>120</v>
      </c>
      <c r="C2076" s="60">
        <v>200</v>
      </c>
      <c r="D2076" s="60">
        <v>98701</v>
      </c>
      <c r="E2076" s="60">
        <f t="shared" si="32"/>
        <v>-98701</v>
      </c>
    </row>
    <row r="2077" spans="1:5" x14ac:dyDescent="0.25">
      <c r="A2077" s="60">
        <v>252</v>
      </c>
      <c r="B2077" s="60" t="s">
        <v>120</v>
      </c>
      <c r="C2077" s="60">
        <v>210</v>
      </c>
      <c r="D2077" s="60">
        <v>5717</v>
      </c>
      <c r="E2077" s="60">
        <f t="shared" si="32"/>
        <v>-5717</v>
      </c>
    </row>
    <row r="2078" spans="1:5" x14ac:dyDescent="0.25">
      <c r="A2078" s="60">
        <v>252</v>
      </c>
      <c r="B2078" s="60" t="s">
        <v>120</v>
      </c>
      <c r="C2078" s="60">
        <v>220</v>
      </c>
      <c r="D2078" s="60">
        <v>0</v>
      </c>
      <c r="E2078" s="60">
        <f t="shared" si="32"/>
        <v>0</v>
      </c>
    </row>
    <row r="2079" spans="1:5" x14ac:dyDescent="0.25">
      <c r="A2079" s="60">
        <v>252</v>
      </c>
      <c r="B2079" s="60" t="s">
        <v>120</v>
      </c>
      <c r="C2079" s="60">
        <v>230</v>
      </c>
      <c r="D2079" s="60">
        <v>14693</v>
      </c>
      <c r="E2079" s="60">
        <f t="shared" si="32"/>
        <v>-14693</v>
      </c>
    </row>
    <row r="2080" spans="1:5" x14ac:dyDescent="0.25">
      <c r="A2080" s="60">
        <v>252</v>
      </c>
      <c r="B2080" s="60" t="s">
        <v>120</v>
      </c>
      <c r="C2080" s="60">
        <v>298</v>
      </c>
      <c r="D2080" s="60">
        <v>0</v>
      </c>
      <c r="E2080" s="60">
        <f t="shared" si="32"/>
        <v>0</v>
      </c>
    </row>
    <row r="2081" spans="1:5" x14ac:dyDescent="0.25">
      <c r="A2081" s="60">
        <v>252</v>
      </c>
      <c r="B2081" s="60" t="s">
        <v>121</v>
      </c>
      <c r="C2081" s="60">
        <v>1</v>
      </c>
      <c r="D2081" s="60">
        <v>0</v>
      </c>
      <c r="E2081" s="60">
        <f t="shared" si="32"/>
        <v>0</v>
      </c>
    </row>
    <row r="2082" spans="1:5" x14ac:dyDescent="0.25">
      <c r="A2082" s="60">
        <v>252</v>
      </c>
      <c r="B2082" s="60" t="s">
        <v>121</v>
      </c>
      <c r="C2082" s="60">
        <v>10</v>
      </c>
      <c r="D2082" s="60">
        <v>20180</v>
      </c>
      <c r="E2082" s="60">
        <f t="shared" si="32"/>
        <v>20180</v>
      </c>
    </row>
    <row r="2083" spans="1:5" x14ac:dyDescent="0.25">
      <c r="A2083" s="60">
        <v>252</v>
      </c>
      <c r="B2083" s="60" t="s">
        <v>121</v>
      </c>
      <c r="C2083" s="60">
        <v>20</v>
      </c>
      <c r="D2083" s="60">
        <v>505</v>
      </c>
      <c r="E2083" s="60">
        <f t="shared" si="32"/>
        <v>505</v>
      </c>
    </row>
    <row r="2084" spans="1:5" x14ac:dyDescent="0.25">
      <c r="A2084" s="60">
        <v>252</v>
      </c>
      <c r="B2084" s="60" t="s">
        <v>121</v>
      </c>
      <c r="C2084" s="60">
        <v>50</v>
      </c>
      <c r="D2084" s="60">
        <v>0</v>
      </c>
      <c r="E2084" s="60">
        <f t="shared" si="32"/>
        <v>0</v>
      </c>
    </row>
    <row r="2085" spans="1:5" x14ac:dyDescent="0.25">
      <c r="A2085" s="60">
        <v>252</v>
      </c>
      <c r="B2085" s="60" t="s">
        <v>121</v>
      </c>
      <c r="C2085" s="60">
        <v>70</v>
      </c>
      <c r="D2085" s="60">
        <v>0</v>
      </c>
      <c r="E2085" s="60">
        <f t="shared" si="32"/>
        <v>0</v>
      </c>
    </row>
    <row r="2086" spans="1:5" x14ac:dyDescent="0.25">
      <c r="A2086" s="60">
        <v>252</v>
      </c>
      <c r="B2086" s="60" t="s">
        <v>121</v>
      </c>
      <c r="C2086" s="60">
        <v>110</v>
      </c>
      <c r="D2086" s="60">
        <v>0</v>
      </c>
      <c r="E2086" s="60">
        <f t="shared" si="32"/>
        <v>0</v>
      </c>
    </row>
    <row r="2087" spans="1:5" x14ac:dyDescent="0.25">
      <c r="A2087" s="60">
        <v>252</v>
      </c>
      <c r="B2087" s="60" t="s">
        <v>121</v>
      </c>
      <c r="C2087" s="60">
        <v>120</v>
      </c>
      <c r="D2087" s="60">
        <v>0</v>
      </c>
      <c r="E2087" s="60">
        <f t="shared" si="32"/>
        <v>0</v>
      </c>
    </row>
    <row r="2088" spans="1:5" x14ac:dyDescent="0.25">
      <c r="A2088" s="60">
        <v>252</v>
      </c>
      <c r="B2088" s="60" t="s">
        <v>121</v>
      </c>
      <c r="C2088" s="60">
        <v>140</v>
      </c>
      <c r="D2088" s="60">
        <v>20260</v>
      </c>
      <c r="E2088" s="60">
        <f t="shared" si="32"/>
        <v>-20260</v>
      </c>
    </row>
    <row r="2089" spans="1:5" x14ac:dyDescent="0.25">
      <c r="A2089" s="60">
        <v>252</v>
      </c>
      <c r="B2089" s="60" t="s">
        <v>121</v>
      </c>
      <c r="C2089" s="60">
        <v>200</v>
      </c>
      <c r="D2089" s="60">
        <v>0</v>
      </c>
      <c r="E2089" s="60">
        <f t="shared" si="32"/>
        <v>0</v>
      </c>
    </row>
    <row r="2090" spans="1:5" x14ac:dyDescent="0.25">
      <c r="A2090" s="60">
        <v>252</v>
      </c>
      <c r="B2090" s="60" t="s">
        <v>121</v>
      </c>
      <c r="C2090" s="60">
        <v>210</v>
      </c>
      <c r="D2090" s="60">
        <v>425</v>
      </c>
      <c r="E2090" s="60">
        <f t="shared" si="32"/>
        <v>-425</v>
      </c>
    </row>
    <row r="2091" spans="1:5" x14ac:dyDescent="0.25">
      <c r="A2091" s="60">
        <v>252</v>
      </c>
      <c r="B2091" s="60" t="s">
        <v>121</v>
      </c>
      <c r="C2091" s="60">
        <v>220</v>
      </c>
      <c r="D2091" s="60">
        <v>0</v>
      </c>
      <c r="E2091" s="60">
        <f t="shared" si="32"/>
        <v>0</v>
      </c>
    </row>
    <row r="2092" spans="1:5" x14ac:dyDescent="0.25">
      <c r="A2092" s="60">
        <v>252</v>
      </c>
      <c r="B2092" s="60" t="s">
        <v>121</v>
      </c>
      <c r="C2092" s="60">
        <v>230</v>
      </c>
      <c r="D2092" s="60">
        <v>0</v>
      </c>
      <c r="E2092" s="60">
        <f t="shared" si="32"/>
        <v>0</v>
      </c>
    </row>
    <row r="2093" spans="1:5" x14ac:dyDescent="0.25">
      <c r="A2093" s="60">
        <v>262</v>
      </c>
      <c r="B2093" s="60" t="s">
        <v>117</v>
      </c>
      <c r="C2093" s="60">
        <v>1</v>
      </c>
      <c r="D2093" s="60">
        <v>2773610</v>
      </c>
      <c r="E2093" s="60">
        <f t="shared" si="32"/>
        <v>2773610</v>
      </c>
    </row>
    <row r="2094" spans="1:5" x14ac:dyDescent="0.25">
      <c r="A2094" s="60">
        <v>262</v>
      </c>
      <c r="B2094" s="60" t="s">
        <v>117</v>
      </c>
      <c r="C2094" s="60">
        <v>10</v>
      </c>
      <c r="D2094" s="60">
        <v>13608940</v>
      </c>
      <c r="E2094" s="60">
        <f t="shared" si="32"/>
        <v>13608940</v>
      </c>
    </row>
    <row r="2095" spans="1:5" x14ac:dyDescent="0.25">
      <c r="A2095" s="60">
        <v>262</v>
      </c>
      <c r="B2095" s="60" t="s">
        <v>117</v>
      </c>
      <c r="C2095" s="60">
        <v>20</v>
      </c>
      <c r="D2095" s="60">
        <v>0</v>
      </c>
      <c r="E2095" s="60">
        <f t="shared" si="32"/>
        <v>0</v>
      </c>
    </row>
    <row r="2096" spans="1:5" x14ac:dyDescent="0.25">
      <c r="A2096" s="60">
        <v>262</v>
      </c>
      <c r="B2096" s="60" t="s">
        <v>117</v>
      </c>
      <c r="C2096" s="60">
        <v>50</v>
      </c>
      <c r="D2096" s="60">
        <v>0</v>
      </c>
      <c r="E2096" s="60">
        <f t="shared" si="32"/>
        <v>0</v>
      </c>
    </row>
    <row r="2097" spans="1:5" x14ac:dyDescent="0.25">
      <c r="A2097" s="60">
        <v>262</v>
      </c>
      <c r="B2097" s="60" t="s">
        <v>117</v>
      </c>
      <c r="C2097" s="60">
        <v>70</v>
      </c>
      <c r="D2097" s="60">
        <v>0</v>
      </c>
      <c r="E2097" s="60">
        <f t="shared" si="32"/>
        <v>0</v>
      </c>
    </row>
    <row r="2098" spans="1:5" x14ac:dyDescent="0.25">
      <c r="A2098" s="60">
        <v>262</v>
      </c>
      <c r="B2098" s="60" t="s">
        <v>117</v>
      </c>
      <c r="C2098" s="60">
        <v>100</v>
      </c>
      <c r="D2098" s="60">
        <v>0</v>
      </c>
      <c r="E2098" s="60">
        <f t="shared" si="32"/>
        <v>0</v>
      </c>
    </row>
    <row r="2099" spans="1:5" x14ac:dyDescent="0.25">
      <c r="A2099" s="60">
        <v>262</v>
      </c>
      <c r="B2099" s="60" t="s">
        <v>117</v>
      </c>
      <c r="C2099" s="60">
        <v>110</v>
      </c>
      <c r="D2099" s="60">
        <v>0</v>
      </c>
      <c r="E2099" s="60">
        <f t="shared" si="32"/>
        <v>0</v>
      </c>
    </row>
    <row r="2100" spans="1:5" x14ac:dyDescent="0.25">
      <c r="A2100" s="60">
        <v>262</v>
      </c>
      <c r="B2100" s="60" t="s">
        <v>117</v>
      </c>
      <c r="C2100" s="60">
        <v>120</v>
      </c>
      <c r="D2100" s="60">
        <v>0</v>
      </c>
      <c r="E2100" s="60">
        <f t="shared" si="32"/>
        <v>0</v>
      </c>
    </row>
    <row r="2101" spans="1:5" x14ac:dyDescent="0.25">
      <c r="A2101" s="60">
        <v>262</v>
      </c>
      <c r="B2101" s="60" t="s">
        <v>117</v>
      </c>
      <c r="C2101" s="60">
        <v>130</v>
      </c>
      <c r="D2101" s="60">
        <v>195940</v>
      </c>
      <c r="E2101" s="60">
        <f t="shared" si="32"/>
        <v>-195940</v>
      </c>
    </row>
    <row r="2102" spans="1:5" x14ac:dyDescent="0.25">
      <c r="A2102" s="60">
        <v>262</v>
      </c>
      <c r="B2102" s="60" t="s">
        <v>117</v>
      </c>
      <c r="C2102" s="60">
        <v>140</v>
      </c>
      <c r="D2102" s="60">
        <v>3616240</v>
      </c>
      <c r="E2102" s="60">
        <f t="shared" si="32"/>
        <v>-3616240</v>
      </c>
    </row>
    <row r="2103" spans="1:5" x14ac:dyDescent="0.25">
      <c r="A2103" s="60">
        <v>262</v>
      </c>
      <c r="B2103" s="60" t="s">
        <v>117</v>
      </c>
      <c r="C2103" s="60">
        <v>200</v>
      </c>
      <c r="D2103" s="60">
        <v>68032</v>
      </c>
      <c r="E2103" s="60">
        <f t="shared" si="32"/>
        <v>-68032</v>
      </c>
    </row>
    <row r="2104" spans="1:5" x14ac:dyDescent="0.25">
      <c r="A2104" s="60">
        <v>262</v>
      </c>
      <c r="B2104" s="60" t="s">
        <v>117</v>
      </c>
      <c r="C2104" s="60">
        <v>210</v>
      </c>
      <c r="D2104" s="60">
        <v>89552</v>
      </c>
      <c r="E2104" s="60">
        <f t="shared" si="32"/>
        <v>-89552</v>
      </c>
    </row>
    <row r="2105" spans="1:5" x14ac:dyDescent="0.25">
      <c r="A2105" s="60">
        <v>262</v>
      </c>
      <c r="B2105" s="60" t="s">
        <v>117</v>
      </c>
      <c r="C2105" s="60">
        <v>230</v>
      </c>
      <c r="D2105" s="60">
        <v>0</v>
      </c>
      <c r="E2105" s="60">
        <f t="shared" si="32"/>
        <v>0</v>
      </c>
    </row>
    <row r="2106" spans="1:5" x14ac:dyDescent="0.25">
      <c r="A2106" s="60">
        <v>262</v>
      </c>
      <c r="B2106" s="60" t="s">
        <v>117</v>
      </c>
      <c r="C2106" s="60">
        <v>298</v>
      </c>
      <c r="D2106" s="60">
        <v>0</v>
      </c>
      <c r="E2106" s="60">
        <f t="shared" si="32"/>
        <v>0</v>
      </c>
    </row>
    <row r="2107" spans="1:5" x14ac:dyDescent="0.25">
      <c r="A2107" s="60">
        <v>262</v>
      </c>
      <c r="B2107" s="60" t="s">
        <v>118</v>
      </c>
      <c r="C2107" s="60">
        <v>1</v>
      </c>
      <c r="D2107" s="60">
        <v>0</v>
      </c>
      <c r="E2107" s="60">
        <f t="shared" si="32"/>
        <v>0</v>
      </c>
    </row>
    <row r="2108" spans="1:5" x14ac:dyDescent="0.25">
      <c r="A2108" s="60">
        <v>262</v>
      </c>
      <c r="B2108" s="60" t="s">
        <v>118</v>
      </c>
      <c r="C2108" s="60">
        <v>10</v>
      </c>
      <c r="D2108" s="60">
        <v>430860</v>
      </c>
      <c r="E2108" s="60">
        <f t="shared" si="32"/>
        <v>430860</v>
      </c>
    </row>
    <row r="2109" spans="1:5" x14ac:dyDescent="0.25">
      <c r="A2109" s="60">
        <v>262</v>
      </c>
      <c r="B2109" s="60" t="s">
        <v>118</v>
      </c>
      <c r="C2109" s="60">
        <v>20</v>
      </c>
      <c r="D2109" s="60">
        <v>0</v>
      </c>
      <c r="E2109" s="60">
        <f t="shared" si="32"/>
        <v>0</v>
      </c>
    </row>
    <row r="2110" spans="1:5" x14ac:dyDescent="0.25">
      <c r="A2110" s="60">
        <v>262</v>
      </c>
      <c r="B2110" s="60" t="s">
        <v>118</v>
      </c>
      <c r="C2110" s="60">
        <v>50</v>
      </c>
      <c r="D2110" s="60">
        <v>0</v>
      </c>
      <c r="E2110" s="60">
        <f t="shared" si="32"/>
        <v>0</v>
      </c>
    </row>
    <row r="2111" spans="1:5" x14ac:dyDescent="0.25">
      <c r="A2111" s="60">
        <v>262</v>
      </c>
      <c r="B2111" s="60" t="s">
        <v>118</v>
      </c>
      <c r="C2111" s="60">
        <v>70</v>
      </c>
      <c r="D2111" s="60">
        <v>0</v>
      </c>
      <c r="E2111" s="60">
        <f t="shared" si="32"/>
        <v>0</v>
      </c>
    </row>
    <row r="2112" spans="1:5" x14ac:dyDescent="0.25">
      <c r="A2112" s="60">
        <v>262</v>
      </c>
      <c r="B2112" s="60" t="s">
        <v>118</v>
      </c>
      <c r="C2112" s="60">
        <v>110</v>
      </c>
      <c r="D2112" s="60">
        <v>0</v>
      </c>
      <c r="E2112" s="60">
        <f t="shared" si="32"/>
        <v>0</v>
      </c>
    </row>
    <row r="2113" spans="1:5" x14ac:dyDescent="0.25">
      <c r="A2113" s="60">
        <v>262</v>
      </c>
      <c r="B2113" s="60" t="s">
        <v>118</v>
      </c>
      <c r="C2113" s="60">
        <v>120</v>
      </c>
      <c r="D2113" s="60">
        <v>0</v>
      </c>
      <c r="E2113" s="60">
        <f t="shared" si="32"/>
        <v>0</v>
      </c>
    </row>
    <row r="2114" spans="1:5" x14ac:dyDescent="0.25">
      <c r="A2114" s="60">
        <v>262</v>
      </c>
      <c r="B2114" s="60" t="s">
        <v>118</v>
      </c>
      <c r="C2114" s="60">
        <v>130</v>
      </c>
      <c r="D2114" s="60">
        <v>0</v>
      </c>
      <c r="E2114" s="60">
        <f t="shared" ref="E2114:E2177" si="33">IF(C2114&lt;100,D2114,D2114*-1)</f>
        <v>0</v>
      </c>
    </row>
    <row r="2115" spans="1:5" x14ac:dyDescent="0.25">
      <c r="A2115" s="60">
        <v>262</v>
      </c>
      <c r="B2115" s="60" t="s">
        <v>118</v>
      </c>
      <c r="C2115" s="60">
        <v>140</v>
      </c>
      <c r="D2115" s="60">
        <v>46720</v>
      </c>
      <c r="E2115" s="60">
        <f t="shared" si="33"/>
        <v>-46720</v>
      </c>
    </row>
    <row r="2116" spans="1:5" x14ac:dyDescent="0.25">
      <c r="A2116" s="60">
        <v>262</v>
      </c>
      <c r="B2116" s="60" t="s">
        <v>118</v>
      </c>
      <c r="C2116" s="60">
        <v>141</v>
      </c>
      <c r="D2116" s="60">
        <v>350680</v>
      </c>
      <c r="E2116" s="60">
        <f t="shared" si="33"/>
        <v>-350680</v>
      </c>
    </row>
    <row r="2117" spans="1:5" x14ac:dyDescent="0.25">
      <c r="A2117" s="60">
        <v>262</v>
      </c>
      <c r="B2117" s="60" t="s">
        <v>118</v>
      </c>
      <c r="C2117" s="60">
        <v>200</v>
      </c>
      <c r="D2117" s="60">
        <v>1981</v>
      </c>
      <c r="E2117" s="60">
        <f t="shared" si="33"/>
        <v>-1981</v>
      </c>
    </row>
    <row r="2118" spans="1:5" x14ac:dyDescent="0.25">
      <c r="A2118" s="60">
        <v>262</v>
      </c>
      <c r="B2118" s="60" t="s">
        <v>118</v>
      </c>
      <c r="C2118" s="60">
        <v>210</v>
      </c>
      <c r="D2118" s="60">
        <v>0</v>
      </c>
      <c r="E2118" s="60">
        <f t="shared" si="33"/>
        <v>0</v>
      </c>
    </row>
    <row r="2119" spans="1:5" x14ac:dyDescent="0.25">
      <c r="A2119" s="60">
        <v>262</v>
      </c>
      <c r="B2119" s="60" t="s">
        <v>118</v>
      </c>
      <c r="C2119" s="60">
        <v>220</v>
      </c>
      <c r="D2119" s="60">
        <v>22235</v>
      </c>
      <c r="E2119" s="60">
        <f t="shared" si="33"/>
        <v>-22235</v>
      </c>
    </row>
    <row r="2120" spans="1:5" x14ac:dyDescent="0.25">
      <c r="A2120" s="60">
        <v>262</v>
      </c>
      <c r="B2120" s="60" t="s">
        <v>118</v>
      </c>
      <c r="C2120" s="60">
        <v>230</v>
      </c>
      <c r="D2120" s="60">
        <v>9244</v>
      </c>
      <c r="E2120" s="60">
        <f t="shared" si="33"/>
        <v>-9244</v>
      </c>
    </row>
    <row r="2121" spans="1:5" x14ac:dyDescent="0.25">
      <c r="A2121" s="60">
        <v>262</v>
      </c>
      <c r="B2121" s="60" t="s">
        <v>118</v>
      </c>
      <c r="C2121" s="60">
        <v>298</v>
      </c>
      <c r="D2121" s="60">
        <v>0</v>
      </c>
      <c r="E2121" s="60">
        <f t="shared" si="33"/>
        <v>0</v>
      </c>
    </row>
    <row r="2122" spans="1:5" x14ac:dyDescent="0.25">
      <c r="A2122" s="60">
        <v>262</v>
      </c>
      <c r="B2122" s="60" t="s">
        <v>119</v>
      </c>
      <c r="C2122" s="60">
        <v>1</v>
      </c>
      <c r="D2122" s="60">
        <v>8943077</v>
      </c>
      <c r="E2122" s="60">
        <f t="shared" si="33"/>
        <v>8943077</v>
      </c>
    </row>
    <row r="2123" spans="1:5" x14ac:dyDescent="0.25">
      <c r="A2123" s="60">
        <v>262</v>
      </c>
      <c r="B2123" s="60" t="s">
        <v>119</v>
      </c>
      <c r="C2123" s="60">
        <v>10</v>
      </c>
      <c r="D2123" s="60">
        <v>12249720</v>
      </c>
      <c r="E2123" s="60">
        <f t="shared" si="33"/>
        <v>12249720</v>
      </c>
    </row>
    <row r="2124" spans="1:5" x14ac:dyDescent="0.25">
      <c r="A2124" s="60">
        <v>262</v>
      </c>
      <c r="B2124" s="60" t="s">
        <v>119</v>
      </c>
      <c r="C2124" s="60">
        <v>20</v>
      </c>
      <c r="D2124" s="60">
        <v>54103</v>
      </c>
      <c r="E2124" s="60">
        <f t="shared" si="33"/>
        <v>54103</v>
      </c>
    </row>
    <row r="2125" spans="1:5" x14ac:dyDescent="0.25">
      <c r="A2125" s="60">
        <v>262</v>
      </c>
      <c r="B2125" s="60" t="s">
        <v>119</v>
      </c>
      <c r="C2125" s="60">
        <v>50</v>
      </c>
      <c r="D2125" s="60">
        <v>0</v>
      </c>
      <c r="E2125" s="60">
        <f t="shared" si="33"/>
        <v>0</v>
      </c>
    </row>
    <row r="2126" spans="1:5" x14ac:dyDescent="0.25">
      <c r="A2126" s="60">
        <v>262</v>
      </c>
      <c r="B2126" s="60" t="s">
        <v>119</v>
      </c>
      <c r="C2126" s="60">
        <v>70</v>
      </c>
      <c r="D2126" s="60">
        <v>0</v>
      </c>
      <c r="E2126" s="60">
        <f t="shared" si="33"/>
        <v>0</v>
      </c>
    </row>
    <row r="2127" spans="1:5" x14ac:dyDescent="0.25">
      <c r="A2127" s="60">
        <v>262</v>
      </c>
      <c r="B2127" s="60" t="s">
        <v>119</v>
      </c>
      <c r="C2127" s="60">
        <v>110</v>
      </c>
      <c r="D2127" s="60">
        <v>10887500</v>
      </c>
      <c r="E2127" s="60">
        <f t="shared" si="33"/>
        <v>-10887500</v>
      </c>
    </row>
    <row r="2128" spans="1:5" x14ac:dyDescent="0.25">
      <c r="A2128" s="60">
        <v>262</v>
      </c>
      <c r="B2128" s="60" t="s">
        <v>119</v>
      </c>
      <c r="C2128" s="60">
        <v>120</v>
      </c>
      <c r="D2128" s="60">
        <v>0</v>
      </c>
      <c r="E2128" s="60">
        <f t="shared" si="33"/>
        <v>0</v>
      </c>
    </row>
    <row r="2129" spans="1:5" x14ac:dyDescent="0.25">
      <c r="A2129" s="60">
        <v>262</v>
      </c>
      <c r="B2129" s="60" t="s">
        <v>119</v>
      </c>
      <c r="C2129" s="60">
        <v>130</v>
      </c>
      <c r="D2129" s="60">
        <v>0</v>
      </c>
      <c r="E2129" s="60">
        <f t="shared" si="33"/>
        <v>0</v>
      </c>
    </row>
    <row r="2130" spans="1:5" x14ac:dyDescent="0.25">
      <c r="A2130" s="60">
        <v>262</v>
      </c>
      <c r="B2130" s="60" t="s">
        <v>119</v>
      </c>
      <c r="C2130" s="60">
        <v>140</v>
      </c>
      <c r="D2130" s="60">
        <v>298460</v>
      </c>
      <c r="E2130" s="60">
        <f t="shared" si="33"/>
        <v>-298460</v>
      </c>
    </row>
    <row r="2131" spans="1:5" x14ac:dyDescent="0.25">
      <c r="A2131" s="60">
        <v>262</v>
      </c>
      <c r="B2131" s="60" t="s">
        <v>119</v>
      </c>
      <c r="C2131" s="60">
        <v>141</v>
      </c>
      <c r="D2131" s="60">
        <v>2149200</v>
      </c>
      <c r="E2131" s="60">
        <f t="shared" si="33"/>
        <v>-2149200</v>
      </c>
    </row>
    <row r="2132" spans="1:5" x14ac:dyDescent="0.25">
      <c r="A2132" s="60">
        <v>262</v>
      </c>
      <c r="B2132" s="60" t="s">
        <v>119</v>
      </c>
      <c r="C2132" s="60">
        <v>200</v>
      </c>
      <c r="D2132" s="60">
        <v>60511</v>
      </c>
      <c r="E2132" s="60">
        <f t="shared" si="33"/>
        <v>-60511</v>
      </c>
    </row>
    <row r="2133" spans="1:5" x14ac:dyDescent="0.25">
      <c r="A2133" s="60">
        <v>262</v>
      </c>
      <c r="B2133" s="60" t="s">
        <v>119</v>
      </c>
      <c r="C2133" s="60">
        <v>210</v>
      </c>
      <c r="D2133" s="60">
        <v>254</v>
      </c>
      <c r="E2133" s="60">
        <f t="shared" si="33"/>
        <v>-254</v>
      </c>
    </row>
    <row r="2134" spans="1:5" x14ac:dyDescent="0.25">
      <c r="A2134" s="60">
        <v>262</v>
      </c>
      <c r="B2134" s="60" t="s">
        <v>119</v>
      </c>
      <c r="C2134" s="60">
        <v>220</v>
      </c>
      <c r="D2134" s="60">
        <v>0</v>
      </c>
      <c r="E2134" s="60">
        <f t="shared" si="33"/>
        <v>0</v>
      </c>
    </row>
    <row r="2135" spans="1:5" x14ac:dyDescent="0.25">
      <c r="A2135" s="60">
        <v>262</v>
      </c>
      <c r="B2135" s="60" t="s">
        <v>119</v>
      </c>
      <c r="C2135" s="60">
        <v>230</v>
      </c>
      <c r="D2135" s="60">
        <v>18424</v>
      </c>
      <c r="E2135" s="60">
        <f t="shared" si="33"/>
        <v>-18424</v>
      </c>
    </row>
    <row r="2136" spans="1:5" x14ac:dyDescent="0.25">
      <c r="A2136" s="60">
        <v>262</v>
      </c>
      <c r="B2136" s="60" t="s">
        <v>119</v>
      </c>
      <c r="C2136" s="60">
        <v>298</v>
      </c>
      <c r="D2136" s="60">
        <v>0</v>
      </c>
      <c r="E2136" s="60">
        <f t="shared" si="33"/>
        <v>0</v>
      </c>
    </row>
    <row r="2137" spans="1:5" x14ac:dyDescent="0.25">
      <c r="A2137" s="60">
        <v>262</v>
      </c>
      <c r="B2137" s="60" t="s">
        <v>120</v>
      </c>
      <c r="C2137" s="60">
        <v>1</v>
      </c>
      <c r="D2137" s="60">
        <v>3766561</v>
      </c>
      <c r="E2137" s="60">
        <f t="shared" si="33"/>
        <v>3766561</v>
      </c>
    </row>
    <row r="2138" spans="1:5" x14ac:dyDescent="0.25">
      <c r="A2138" s="60">
        <v>262</v>
      </c>
      <c r="B2138" s="60" t="s">
        <v>120</v>
      </c>
      <c r="C2138" s="60">
        <v>10</v>
      </c>
      <c r="D2138" s="60">
        <v>7368220</v>
      </c>
      <c r="E2138" s="60">
        <f t="shared" si="33"/>
        <v>7368220</v>
      </c>
    </row>
    <row r="2139" spans="1:5" x14ac:dyDescent="0.25">
      <c r="A2139" s="60">
        <v>262</v>
      </c>
      <c r="B2139" s="60" t="s">
        <v>120</v>
      </c>
      <c r="C2139" s="60">
        <v>20</v>
      </c>
      <c r="D2139" s="60">
        <v>45074</v>
      </c>
      <c r="E2139" s="60">
        <f t="shared" si="33"/>
        <v>45074</v>
      </c>
    </row>
    <row r="2140" spans="1:5" x14ac:dyDescent="0.25">
      <c r="A2140" s="60">
        <v>262</v>
      </c>
      <c r="B2140" s="60" t="s">
        <v>120</v>
      </c>
      <c r="C2140" s="60">
        <v>50</v>
      </c>
      <c r="D2140" s="60">
        <v>0</v>
      </c>
      <c r="E2140" s="60">
        <f t="shared" si="33"/>
        <v>0</v>
      </c>
    </row>
    <row r="2141" spans="1:5" x14ac:dyDescent="0.25">
      <c r="A2141" s="60">
        <v>262</v>
      </c>
      <c r="B2141" s="60" t="s">
        <v>120</v>
      </c>
      <c r="C2141" s="60">
        <v>70</v>
      </c>
      <c r="D2141" s="60">
        <v>0</v>
      </c>
      <c r="E2141" s="60">
        <f t="shared" si="33"/>
        <v>0</v>
      </c>
    </row>
    <row r="2142" spans="1:5" x14ac:dyDescent="0.25">
      <c r="A2142" s="60">
        <v>262</v>
      </c>
      <c r="B2142" s="60" t="s">
        <v>120</v>
      </c>
      <c r="C2142" s="60">
        <v>110</v>
      </c>
      <c r="D2142" s="60">
        <v>2196740</v>
      </c>
      <c r="E2142" s="60">
        <f t="shared" si="33"/>
        <v>-2196740</v>
      </c>
    </row>
    <row r="2143" spans="1:5" x14ac:dyDescent="0.25">
      <c r="A2143" s="60">
        <v>262</v>
      </c>
      <c r="B2143" s="60" t="s">
        <v>120</v>
      </c>
      <c r="C2143" s="60">
        <v>120</v>
      </c>
      <c r="D2143" s="60">
        <v>0</v>
      </c>
      <c r="E2143" s="60">
        <f t="shared" si="33"/>
        <v>0</v>
      </c>
    </row>
    <row r="2144" spans="1:5" x14ac:dyDescent="0.25">
      <c r="A2144" s="60">
        <v>262</v>
      </c>
      <c r="B2144" s="60" t="s">
        <v>120</v>
      </c>
      <c r="C2144" s="60">
        <v>130</v>
      </c>
      <c r="D2144" s="60">
        <v>107160</v>
      </c>
      <c r="E2144" s="60">
        <f t="shared" si="33"/>
        <v>-107160</v>
      </c>
    </row>
    <row r="2145" spans="1:5" x14ac:dyDescent="0.25">
      <c r="A2145" s="60">
        <v>262</v>
      </c>
      <c r="B2145" s="60" t="s">
        <v>120</v>
      </c>
      <c r="C2145" s="60">
        <v>140</v>
      </c>
      <c r="D2145" s="60">
        <v>2039700</v>
      </c>
      <c r="E2145" s="60">
        <f t="shared" si="33"/>
        <v>-2039700</v>
      </c>
    </row>
    <row r="2146" spans="1:5" x14ac:dyDescent="0.25">
      <c r="A2146" s="60">
        <v>262</v>
      </c>
      <c r="B2146" s="60" t="s">
        <v>120</v>
      </c>
      <c r="C2146" s="60">
        <v>141</v>
      </c>
      <c r="D2146" s="60">
        <v>6747960</v>
      </c>
      <c r="E2146" s="60">
        <f t="shared" si="33"/>
        <v>-6747960</v>
      </c>
    </row>
    <row r="2147" spans="1:5" x14ac:dyDescent="0.25">
      <c r="A2147" s="60">
        <v>262</v>
      </c>
      <c r="B2147" s="60" t="s">
        <v>120</v>
      </c>
      <c r="C2147" s="60">
        <v>200</v>
      </c>
      <c r="D2147" s="60">
        <v>73682</v>
      </c>
      <c r="E2147" s="60">
        <f t="shared" si="33"/>
        <v>-73682</v>
      </c>
    </row>
    <row r="2148" spans="1:5" x14ac:dyDescent="0.25">
      <c r="A2148" s="60">
        <v>262</v>
      </c>
      <c r="B2148" s="60" t="s">
        <v>120</v>
      </c>
      <c r="C2148" s="60">
        <v>210</v>
      </c>
      <c r="D2148" s="60">
        <v>3850</v>
      </c>
      <c r="E2148" s="60">
        <f t="shared" si="33"/>
        <v>-3850</v>
      </c>
    </row>
    <row r="2149" spans="1:5" x14ac:dyDescent="0.25">
      <c r="A2149" s="60">
        <v>262</v>
      </c>
      <c r="B2149" s="60" t="s">
        <v>120</v>
      </c>
      <c r="C2149" s="60">
        <v>220</v>
      </c>
      <c r="D2149" s="60">
        <v>6761</v>
      </c>
      <c r="E2149" s="60">
        <f t="shared" si="33"/>
        <v>-6761</v>
      </c>
    </row>
    <row r="2150" spans="1:5" x14ac:dyDescent="0.25">
      <c r="A2150" s="60">
        <v>262</v>
      </c>
      <c r="B2150" s="60" t="s">
        <v>120</v>
      </c>
      <c r="C2150" s="60">
        <v>230</v>
      </c>
      <c r="D2150" s="60">
        <v>4002</v>
      </c>
      <c r="E2150" s="60">
        <f t="shared" si="33"/>
        <v>-4002</v>
      </c>
    </row>
    <row r="2151" spans="1:5" x14ac:dyDescent="0.25">
      <c r="A2151" s="60">
        <v>262</v>
      </c>
      <c r="B2151" s="60" t="s">
        <v>120</v>
      </c>
      <c r="C2151" s="60">
        <v>298</v>
      </c>
      <c r="D2151" s="60">
        <v>0</v>
      </c>
      <c r="E2151" s="60">
        <f t="shared" si="33"/>
        <v>0</v>
      </c>
    </row>
    <row r="2152" spans="1:5" x14ac:dyDescent="0.25">
      <c r="A2152" s="60">
        <v>262</v>
      </c>
      <c r="B2152" s="60" t="s">
        <v>121</v>
      </c>
      <c r="C2152" s="60">
        <v>1</v>
      </c>
      <c r="D2152" s="60">
        <v>0</v>
      </c>
      <c r="E2152" s="60">
        <f t="shared" si="33"/>
        <v>0</v>
      </c>
    </row>
    <row r="2153" spans="1:5" x14ac:dyDescent="0.25">
      <c r="A2153" s="60">
        <v>262</v>
      </c>
      <c r="B2153" s="60" t="s">
        <v>121</v>
      </c>
      <c r="C2153" s="60">
        <v>10</v>
      </c>
      <c r="D2153" s="60">
        <v>31260</v>
      </c>
      <c r="E2153" s="60">
        <f t="shared" si="33"/>
        <v>31260</v>
      </c>
    </row>
    <row r="2154" spans="1:5" x14ac:dyDescent="0.25">
      <c r="A2154" s="60">
        <v>262</v>
      </c>
      <c r="B2154" s="60" t="s">
        <v>121</v>
      </c>
      <c r="C2154" s="60">
        <v>20</v>
      </c>
      <c r="D2154" s="60">
        <v>1095</v>
      </c>
      <c r="E2154" s="60">
        <f t="shared" si="33"/>
        <v>1095</v>
      </c>
    </row>
    <row r="2155" spans="1:5" x14ac:dyDescent="0.25">
      <c r="A2155" s="60">
        <v>262</v>
      </c>
      <c r="B2155" s="60" t="s">
        <v>121</v>
      </c>
      <c r="C2155" s="60">
        <v>50</v>
      </c>
      <c r="D2155" s="60">
        <v>20260</v>
      </c>
      <c r="E2155" s="60">
        <f t="shared" si="33"/>
        <v>20260</v>
      </c>
    </row>
    <row r="2156" spans="1:5" x14ac:dyDescent="0.25">
      <c r="A2156" s="60">
        <v>262</v>
      </c>
      <c r="B2156" s="60" t="s">
        <v>121</v>
      </c>
      <c r="C2156" s="60">
        <v>70</v>
      </c>
      <c r="D2156" s="60">
        <v>0</v>
      </c>
      <c r="E2156" s="60">
        <f t="shared" si="33"/>
        <v>0</v>
      </c>
    </row>
    <row r="2157" spans="1:5" x14ac:dyDescent="0.25">
      <c r="A2157" s="60">
        <v>262</v>
      </c>
      <c r="B2157" s="60" t="s">
        <v>121</v>
      </c>
      <c r="C2157" s="60">
        <v>110</v>
      </c>
      <c r="D2157" s="60">
        <v>51160</v>
      </c>
      <c r="E2157" s="60">
        <f t="shared" si="33"/>
        <v>-51160</v>
      </c>
    </row>
    <row r="2158" spans="1:5" x14ac:dyDescent="0.25">
      <c r="A2158" s="60">
        <v>262</v>
      </c>
      <c r="B2158" s="60" t="s">
        <v>121</v>
      </c>
      <c r="C2158" s="60">
        <v>120</v>
      </c>
      <c r="D2158" s="60">
        <v>0</v>
      </c>
      <c r="E2158" s="60">
        <f t="shared" si="33"/>
        <v>0</v>
      </c>
    </row>
    <row r="2159" spans="1:5" x14ac:dyDescent="0.25">
      <c r="A2159" s="60">
        <v>262</v>
      </c>
      <c r="B2159" s="60" t="s">
        <v>121</v>
      </c>
      <c r="C2159" s="60">
        <v>130</v>
      </c>
      <c r="D2159" s="60">
        <v>0</v>
      </c>
      <c r="E2159" s="60">
        <f t="shared" si="33"/>
        <v>0</v>
      </c>
    </row>
    <row r="2160" spans="1:5" x14ac:dyDescent="0.25">
      <c r="A2160" s="60">
        <v>262</v>
      </c>
      <c r="B2160" s="60" t="s">
        <v>121</v>
      </c>
      <c r="C2160" s="60">
        <v>140</v>
      </c>
      <c r="D2160" s="60">
        <v>0</v>
      </c>
      <c r="E2160" s="60">
        <f t="shared" si="33"/>
        <v>0</v>
      </c>
    </row>
    <row r="2161" spans="1:5" x14ac:dyDescent="0.25">
      <c r="A2161" s="60">
        <v>262</v>
      </c>
      <c r="B2161" s="60" t="s">
        <v>121</v>
      </c>
      <c r="C2161" s="60">
        <v>200</v>
      </c>
      <c r="D2161" s="60">
        <v>0</v>
      </c>
      <c r="E2161" s="60">
        <f t="shared" si="33"/>
        <v>0</v>
      </c>
    </row>
    <row r="2162" spans="1:5" x14ac:dyDescent="0.25">
      <c r="A2162" s="60">
        <v>262</v>
      </c>
      <c r="B2162" s="60" t="s">
        <v>121</v>
      </c>
      <c r="C2162" s="60">
        <v>210</v>
      </c>
      <c r="D2162" s="60">
        <v>1095</v>
      </c>
      <c r="E2162" s="60">
        <f t="shared" si="33"/>
        <v>-1095</v>
      </c>
    </row>
    <row r="2163" spans="1:5" x14ac:dyDescent="0.25">
      <c r="A2163" s="60">
        <v>262</v>
      </c>
      <c r="B2163" s="60" t="s">
        <v>121</v>
      </c>
      <c r="C2163" s="60">
        <v>220</v>
      </c>
      <c r="D2163" s="60">
        <v>360</v>
      </c>
      <c r="E2163" s="60">
        <f t="shared" si="33"/>
        <v>-360</v>
      </c>
    </row>
    <row r="2164" spans="1:5" x14ac:dyDescent="0.25">
      <c r="A2164" s="60">
        <v>262</v>
      </c>
      <c r="B2164" s="60" t="s">
        <v>121</v>
      </c>
      <c r="C2164" s="60">
        <v>230</v>
      </c>
      <c r="D2164" s="60">
        <v>0</v>
      </c>
      <c r="E2164" s="60">
        <f t="shared" si="33"/>
        <v>0</v>
      </c>
    </row>
    <row r="2165" spans="1:5" x14ac:dyDescent="0.25">
      <c r="A2165" s="60">
        <v>272</v>
      </c>
      <c r="B2165" s="60" t="s">
        <v>117</v>
      </c>
      <c r="C2165" s="60">
        <v>1</v>
      </c>
      <c r="D2165" s="60">
        <v>7162353</v>
      </c>
      <c r="E2165" s="60">
        <f t="shared" si="33"/>
        <v>7162353</v>
      </c>
    </row>
    <row r="2166" spans="1:5" x14ac:dyDescent="0.25">
      <c r="A2166" s="60">
        <v>272</v>
      </c>
      <c r="B2166" s="60" t="s">
        <v>117</v>
      </c>
      <c r="C2166" s="60">
        <v>10</v>
      </c>
      <c r="D2166" s="60">
        <v>5697560</v>
      </c>
      <c r="E2166" s="60">
        <f t="shared" si="33"/>
        <v>5697560</v>
      </c>
    </row>
    <row r="2167" spans="1:5" x14ac:dyDescent="0.25">
      <c r="A2167" s="60">
        <v>272</v>
      </c>
      <c r="B2167" s="60" t="s">
        <v>117</v>
      </c>
      <c r="C2167" s="60">
        <v>20</v>
      </c>
      <c r="D2167" s="60">
        <v>0</v>
      </c>
      <c r="E2167" s="60">
        <f t="shared" si="33"/>
        <v>0</v>
      </c>
    </row>
    <row r="2168" spans="1:5" x14ac:dyDescent="0.25">
      <c r="A2168" s="60">
        <v>272</v>
      </c>
      <c r="B2168" s="60" t="s">
        <v>117</v>
      </c>
      <c r="C2168" s="60">
        <v>50</v>
      </c>
      <c r="D2168" s="60">
        <v>0</v>
      </c>
      <c r="E2168" s="60">
        <f t="shared" si="33"/>
        <v>0</v>
      </c>
    </row>
    <row r="2169" spans="1:5" x14ac:dyDescent="0.25">
      <c r="A2169" s="60">
        <v>272</v>
      </c>
      <c r="B2169" s="60" t="s">
        <v>117</v>
      </c>
      <c r="C2169" s="60">
        <v>70</v>
      </c>
      <c r="D2169" s="60">
        <v>0</v>
      </c>
      <c r="E2169" s="60">
        <f t="shared" si="33"/>
        <v>0</v>
      </c>
    </row>
    <row r="2170" spans="1:5" x14ac:dyDescent="0.25">
      <c r="A2170" s="60">
        <v>272</v>
      </c>
      <c r="B2170" s="60" t="s">
        <v>117</v>
      </c>
      <c r="C2170" s="60">
        <v>110</v>
      </c>
      <c r="D2170" s="60">
        <v>0</v>
      </c>
      <c r="E2170" s="60">
        <f t="shared" si="33"/>
        <v>0</v>
      </c>
    </row>
    <row r="2171" spans="1:5" x14ac:dyDescent="0.25">
      <c r="A2171" s="60">
        <v>272</v>
      </c>
      <c r="B2171" s="60" t="s">
        <v>117</v>
      </c>
      <c r="C2171" s="60">
        <v>120</v>
      </c>
      <c r="D2171" s="60">
        <v>0</v>
      </c>
      <c r="E2171" s="60">
        <f t="shared" si="33"/>
        <v>0</v>
      </c>
    </row>
    <row r="2172" spans="1:5" x14ac:dyDescent="0.25">
      <c r="A2172" s="60">
        <v>272</v>
      </c>
      <c r="B2172" s="60" t="s">
        <v>117</v>
      </c>
      <c r="C2172" s="60">
        <v>130</v>
      </c>
      <c r="D2172" s="60">
        <v>0</v>
      </c>
      <c r="E2172" s="60">
        <f t="shared" si="33"/>
        <v>0</v>
      </c>
    </row>
    <row r="2173" spans="1:5" x14ac:dyDescent="0.25">
      <c r="A2173" s="60">
        <v>272</v>
      </c>
      <c r="B2173" s="60" t="s">
        <v>117</v>
      </c>
      <c r="C2173" s="60">
        <v>140</v>
      </c>
      <c r="D2173" s="60">
        <v>0</v>
      </c>
      <c r="E2173" s="60">
        <f t="shared" si="33"/>
        <v>0</v>
      </c>
    </row>
    <row r="2174" spans="1:5" x14ac:dyDescent="0.25">
      <c r="A2174" s="60">
        <v>272</v>
      </c>
      <c r="B2174" s="60" t="s">
        <v>117</v>
      </c>
      <c r="C2174" s="60">
        <v>200</v>
      </c>
      <c r="D2174" s="60">
        <v>28447</v>
      </c>
      <c r="E2174" s="60">
        <f t="shared" si="33"/>
        <v>-28447</v>
      </c>
    </row>
    <row r="2175" spans="1:5" x14ac:dyDescent="0.25">
      <c r="A2175" s="60">
        <v>272</v>
      </c>
      <c r="B2175" s="60" t="s">
        <v>117</v>
      </c>
      <c r="C2175" s="60">
        <v>210</v>
      </c>
      <c r="D2175" s="60">
        <v>32696</v>
      </c>
      <c r="E2175" s="60">
        <f t="shared" si="33"/>
        <v>-32696</v>
      </c>
    </row>
    <row r="2176" spans="1:5" x14ac:dyDescent="0.25">
      <c r="A2176" s="60">
        <v>272</v>
      </c>
      <c r="B2176" s="60" t="s">
        <v>117</v>
      </c>
      <c r="C2176" s="60">
        <v>220</v>
      </c>
      <c r="D2176" s="60">
        <v>0</v>
      </c>
      <c r="E2176" s="60">
        <f t="shared" si="33"/>
        <v>0</v>
      </c>
    </row>
    <row r="2177" spans="1:5" x14ac:dyDescent="0.25">
      <c r="A2177" s="60">
        <v>272</v>
      </c>
      <c r="B2177" s="60" t="s">
        <v>117</v>
      </c>
      <c r="C2177" s="60">
        <v>230</v>
      </c>
      <c r="D2177" s="60">
        <v>0</v>
      </c>
      <c r="E2177" s="60">
        <f t="shared" si="33"/>
        <v>0</v>
      </c>
    </row>
    <row r="2178" spans="1:5" x14ac:dyDescent="0.25">
      <c r="A2178" s="60">
        <v>272</v>
      </c>
      <c r="B2178" s="60" t="s">
        <v>117</v>
      </c>
      <c r="C2178" s="60">
        <v>298</v>
      </c>
      <c r="D2178" s="60">
        <v>0</v>
      </c>
      <c r="E2178" s="60">
        <f t="shared" ref="E2178:E2241" si="34">IF(C2178&lt;100,D2178,D2178*-1)</f>
        <v>0</v>
      </c>
    </row>
    <row r="2179" spans="1:5" x14ac:dyDescent="0.25">
      <c r="A2179" s="60">
        <v>272</v>
      </c>
      <c r="B2179" s="60" t="s">
        <v>118</v>
      </c>
      <c r="C2179" s="60">
        <v>1</v>
      </c>
      <c r="D2179" s="60">
        <v>2130089</v>
      </c>
      <c r="E2179" s="60">
        <f t="shared" si="34"/>
        <v>2130089</v>
      </c>
    </row>
    <row r="2180" spans="1:5" x14ac:dyDescent="0.25">
      <c r="A2180" s="60">
        <v>272</v>
      </c>
      <c r="B2180" s="60" t="s">
        <v>118</v>
      </c>
      <c r="C2180" s="60">
        <v>10</v>
      </c>
      <c r="D2180" s="60">
        <v>765640</v>
      </c>
      <c r="E2180" s="60">
        <f t="shared" si="34"/>
        <v>765640</v>
      </c>
    </row>
    <row r="2181" spans="1:5" x14ac:dyDescent="0.25">
      <c r="A2181" s="60">
        <v>272</v>
      </c>
      <c r="B2181" s="60" t="s">
        <v>118</v>
      </c>
      <c r="C2181" s="60">
        <v>20</v>
      </c>
      <c r="D2181" s="60">
        <v>17986</v>
      </c>
      <c r="E2181" s="60">
        <f t="shared" si="34"/>
        <v>17986</v>
      </c>
    </row>
    <row r="2182" spans="1:5" x14ac:dyDescent="0.25">
      <c r="A2182" s="60">
        <v>272</v>
      </c>
      <c r="B2182" s="60" t="s">
        <v>118</v>
      </c>
      <c r="C2182" s="60">
        <v>50</v>
      </c>
      <c r="D2182" s="60">
        <v>147540</v>
      </c>
      <c r="E2182" s="60">
        <f t="shared" si="34"/>
        <v>147540</v>
      </c>
    </row>
    <row r="2183" spans="1:5" x14ac:dyDescent="0.25">
      <c r="A2183" s="60">
        <v>272</v>
      </c>
      <c r="B2183" s="60" t="s">
        <v>118</v>
      </c>
      <c r="C2183" s="60">
        <v>70</v>
      </c>
      <c r="D2183" s="60">
        <v>0</v>
      </c>
      <c r="E2183" s="60">
        <f t="shared" si="34"/>
        <v>0</v>
      </c>
    </row>
    <row r="2184" spans="1:5" x14ac:dyDescent="0.25">
      <c r="A2184" s="60">
        <v>272</v>
      </c>
      <c r="B2184" s="60" t="s">
        <v>118</v>
      </c>
      <c r="C2184" s="60">
        <v>110</v>
      </c>
      <c r="D2184" s="60">
        <v>0</v>
      </c>
      <c r="E2184" s="60">
        <f t="shared" si="34"/>
        <v>0</v>
      </c>
    </row>
    <row r="2185" spans="1:5" x14ac:dyDescent="0.25">
      <c r="A2185" s="60">
        <v>272</v>
      </c>
      <c r="B2185" s="60" t="s">
        <v>118</v>
      </c>
      <c r="C2185" s="60">
        <v>120</v>
      </c>
      <c r="D2185" s="60">
        <v>0</v>
      </c>
      <c r="E2185" s="60">
        <f t="shared" si="34"/>
        <v>0</v>
      </c>
    </row>
    <row r="2186" spans="1:5" x14ac:dyDescent="0.25">
      <c r="A2186" s="60">
        <v>272</v>
      </c>
      <c r="B2186" s="60" t="s">
        <v>118</v>
      </c>
      <c r="C2186" s="60">
        <v>130</v>
      </c>
      <c r="D2186" s="60">
        <v>0</v>
      </c>
      <c r="E2186" s="60">
        <f t="shared" si="34"/>
        <v>0</v>
      </c>
    </row>
    <row r="2187" spans="1:5" x14ac:dyDescent="0.25">
      <c r="A2187" s="60">
        <v>272</v>
      </c>
      <c r="B2187" s="60" t="s">
        <v>118</v>
      </c>
      <c r="C2187" s="60">
        <v>140</v>
      </c>
      <c r="D2187" s="60">
        <v>41780</v>
      </c>
      <c r="E2187" s="60">
        <f t="shared" si="34"/>
        <v>-41780</v>
      </c>
    </row>
    <row r="2188" spans="1:5" x14ac:dyDescent="0.25">
      <c r="A2188" s="60">
        <v>272</v>
      </c>
      <c r="B2188" s="60" t="s">
        <v>118</v>
      </c>
      <c r="C2188" s="60">
        <v>141</v>
      </c>
      <c r="D2188" s="60">
        <v>3009300</v>
      </c>
      <c r="E2188" s="60">
        <f t="shared" si="34"/>
        <v>-3009300</v>
      </c>
    </row>
    <row r="2189" spans="1:5" x14ac:dyDescent="0.25">
      <c r="A2189" s="60">
        <v>272</v>
      </c>
      <c r="B2189" s="60" t="s">
        <v>118</v>
      </c>
      <c r="C2189" s="60">
        <v>200</v>
      </c>
      <c r="D2189" s="60">
        <v>3828</v>
      </c>
      <c r="E2189" s="60">
        <f t="shared" si="34"/>
        <v>-3828</v>
      </c>
    </row>
    <row r="2190" spans="1:5" x14ac:dyDescent="0.25">
      <c r="A2190" s="60">
        <v>272</v>
      </c>
      <c r="B2190" s="60" t="s">
        <v>118</v>
      </c>
      <c r="C2190" s="60">
        <v>210</v>
      </c>
      <c r="D2190" s="60">
        <v>0</v>
      </c>
      <c r="E2190" s="60">
        <f t="shared" si="34"/>
        <v>0</v>
      </c>
    </row>
    <row r="2191" spans="1:5" x14ac:dyDescent="0.25">
      <c r="A2191" s="60">
        <v>272</v>
      </c>
      <c r="B2191" s="60" t="s">
        <v>118</v>
      </c>
      <c r="C2191" s="60">
        <v>220</v>
      </c>
      <c r="D2191" s="60">
        <v>0</v>
      </c>
      <c r="E2191" s="60">
        <f t="shared" si="34"/>
        <v>0</v>
      </c>
    </row>
    <row r="2192" spans="1:5" x14ac:dyDescent="0.25">
      <c r="A2192" s="60">
        <v>272</v>
      </c>
      <c r="B2192" s="60" t="s">
        <v>118</v>
      </c>
      <c r="C2192" s="60">
        <v>230</v>
      </c>
      <c r="D2192" s="60">
        <v>12680</v>
      </c>
      <c r="E2192" s="60">
        <f t="shared" si="34"/>
        <v>-12680</v>
      </c>
    </row>
    <row r="2193" spans="1:5" x14ac:dyDescent="0.25">
      <c r="A2193" s="60">
        <v>272</v>
      </c>
      <c r="B2193" s="60" t="s">
        <v>118</v>
      </c>
      <c r="C2193" s="60">
        <v>298</v>
      </c>
      <c r="D2193" s="60">
        <v>0</v>
      </c>
      <c r="E2193" s="60">
        <f t="shared" si="34"/>
        <v>0</v>
      </c>
    </row>
    <row r="2194" spans="1:5" x14ac:dyDescent="0.25">
      <c r="A2194" s="60">
        <v>272</v>
      </c>
      <c r="B2194" s="60" t="s">
        <v>119</v>
      </c>
      <c r="C2194" s="60">
        <v>1</v>
      </c>
      <c r="D2194" s="60">
        <v>17323097</v>
      </c>
      <c r="E2194" s="60">
        <f t="shared" si="34"/>
        <v>17323097</v>
      </c>
    </row>
    <row r="2195" spans="1:5" x14ac:dyDescent="0.25">
      <c r="A2195" s="60">
        <v>272</v>
      </c>
      <c r="B2195" s="60" t="s">
        <v>119</v>
      </c>
      <c r="C2195" s="60">
        <v>10</v>
      </c>
      <c r="D2195" s="60">
        <v>28551000</v>
      </c>
      <c r="E2195" s="60">
        <f t="shared" si="34"/>
        <v>28551000</v>
      </c>
    </row>
    <row r="2196" spans="1:5" x14ac:dyDescent="0.25">
      <c r="A2196" s="60">
        <v>272</v>
      </c>
      <c r="B2196" s="60" t="s">
        <v>119</v>
      </c>
      <c r="C2196" s="60">
        <v>20</v>
      </c>
      <c r="D2196" s="60">
        <v>5893</v>
      </c>
      <c r="E2196" s="60">
        <f t="shared" si="34"/>
        <v>5893</v>
      </c>
    </row>
    <row r="2197" spans="1:5" x14ac:dyDescent="0.25">
      <c r="A2197" s="60">
        <v>272</v>
      </c>
      <c r="B2197" s="60" t="s">
        <v>119</v>
      </c>
      <c r="C2197" s="60">
        <v>50</v>
      </c>
      <c r="D2197" s="60">
        <v>0</v>
      </c>
      <c r="E2197" s="60">
        <f t="shared" si="34"/>
        <v>0</v>
      </c>
    </row>
    <row r="2198" spans="1:5" x14ac:dyDescent="0.25">
      <c r="A2198" s="60">
        <v>272</v>
      </c>
      <c r="B2198" s="60" t="s">
        <v>119</v>
      </c>
      <c r="C2198" s="60">
        <v>70</v>
      </c>
      <c r="D2198" s="60">
        <v>0</v>
      </c>
      <c r="E2198" s="60">
        <f t="shared" si="34"/>
        <v>0</v>
      </c>
    </row>
    <row r="2199" spans="1:5" x14ac:dyDescent="0.25">
      <c r="A2199" s="60">
        <v>272</v>
      </c>
      <c r="B2199" s="60" t="s">
        <v>119</v>
      </c>
      <c r="C2199" s="60">
        <v>110</v>
      </c>
      <c r="D2199" s="60">
        <v>19059260</v>
      </c>
      <c r="E2199" s="60">
        <f t="shared" si="34"/>
        <v>-19059260</v>
      </c>
    </row>
    <row r="2200" spans="1:5" x14ac:dyDescent="0.25">
      <c r="A2200" s="60">
        <v>272</v>
      </c>
      <c r="B2200" s="60" t="s">
        <v>119</v>
      </c>
      <c r="C2200" s="60">
        <v>130</v>
      </c>
      <c r="D2200" s="60">
        <v>51320</v>
      </c>
      <c r="E2200" s="60">
        <f t="shared" si="34"/>
        <v>-51320</v>
      </c>
    </row>
    <row r="2201" spans="1:5" x14ac:dyDescent="0.25">
      <c r="A2201" s="60">
        <v>272</v>
      </c>
      <c r="B2201" s="60" t="s">
        <v>119</v>
      </c>
      <c r="C2201" s="60">
        <v>140</v>
      </c>
      <c r="D2201" s="60">
        <v>2418200</v>
      </c>
      <c r="E2201" s="60">
        <f t="shared" si="34"/>
        <v>-2418200</v>
      </c>
    </row>
    <row r="2202" spans="1:5" x14ac:dyDescent="0.25">
      <c r="A2202" s="60">
        <v>272</v>
      </c>
      <c r="B2202" s="60" t="s">
        <v>119</v>
      </c>
      <c r="C2202" s="60">
        <v>141</v>
      </c>
      <c r="D2202" s="60">
        <v>4200740</v>
      </c>
      <c r="E2202" s="60">
        <f t="shared" si="34"/>
        <v>-4200740</v>
      </c>
    </row>
    <row r="2203" spans="1:5" x14ac:dyDescent="0.25">
      <c r="A2203" s="60">
        <v>272</v>
      </c>
      <c r="B2203" s="60" t="s">
        <v>119</v>
      </c>
      <c r="C2203" s="60">
        <v>200</v>
      </c>
      <c r="D2203" s="60">
        <v>142607</v>
      </c>
      <c r="E2203" s="60">
        <f t="shared" si="34"/>
        <v>-142607</v>
      </c>
    </row>
    <row r="2204" spans="1:5" x14ac:dyDescent="0.25">
      <c r="A2204" s="60">
        <v>272</v>
      </c>
      <c r="B2204" s="60" t="s">
        <v>119</v>
      </c>
      <c r="C2204" s="60">
        <v>210</v>
      </c>
      <c r="D2204" s="60">
        <v>7934</v>
      </c>
      <c r="E2204" s="60">
        <f t="shared" si="34"/>
        <v>-7934</v>
      </c>
    </row>
    <row r="2205" spans="1:5" x14ac:dyDescent="0.25">
      <c r="A2205" s="60">
        <v>272</v>
      </c>
      <c r="B2205" s="60" t="s">
        <v>119</v>
      </c>
      <c r="C2205" s="60">
        <v>220</v>
      </c>
      <c r="D2205" s="60">
        <v>0</v>
      </c>
      <c r="E2205" s="60">
        <f t="shared" si="34"/>
        <v>0</v>
      </c>
    </row>
    <row r="2206" spans="1:5" x14ac:dyDescent="0.25">
      <c r="A2206" s="60">
        <v>272</v>
      </c>
      <c r="B2206" s="60" t="s">
        <v>119</v>
      </c>
      <c r="C2206" s="60">
        <v>230</v>
      </c>
      <c r="D2206" s="60">
        <v>48019</v>
      </c>
      <c r="E2206" s="60">
        <f t="shared" si="34"/>
        <v>-48019</v>
      </c>
    </row>
    <row r="2207" spans="1:5" x14ac:dyDescent="0.25">
      <c r="A2207" s="60">
        <v>272</v>
      </c>
      <c r="B2207" s="60" t="s">
        <v>119</v>
      </c>
      <c r="C2207" s="60">
        <v>298</v>
      </c>
      <c r="D2207" s="60">
        <v>0</v>
      </c>
      <c r="E2207" s="60">
        <f t="shared" si="34"/>
        <v>0</v>
      </c>
    </row>
    <row r="2208" spans="1:5" x14ac:dyDescent="0.25">
      <c r="A2208" s="60">
        <v>272</v>
      </c>
      <c r="B2208" s="60" t="s">
        <v>120</v>
      </c>
      <c r="C2208" s="60">
        <v>1</v>
      </c>
      <c r="D2208" s="60">
        <v>20335036</v>
      </c>
      <c r="E2208" s="60">
        <f t="shared" si="34"/>
        <v>20335036</v>
      </c>
    </row>
    <row r="2209" spans="1:5" x14ac:dyDescent="0.25">
      <c r="A2209" s="60">
        <v>272</v>
      </c>
      <c r="B2209" s="60" t="s">
        <v>120</v>
      </c>
      <c r="C2209" s="60">
        <v>10</v>
      </c>
      <c r="D2209" s="60">
        <v>19590280</v>
      </c>
      <c r="E2209" s="60">
        <f t="shared" si="34"/>
        <v>19590280</v>
      </c>
    </row>
    <row r="2210" spans="1:5" x14ac:dyDescent="0.25">
      <c r="A2210" s="60">
        <v>272</v>
      </c>
      <c r="B2210" s="60" t="s">
        <v>120</v>
      </c>
      <c r="C2210" s="60">
        <v>20</v>
      </c>
      <c r="D2210" s="60">
        <v>0</v>
      </c>
      <c r="E2210" s="60">
        <f t="shared" si="34"/>
        <v>0</v>
      </c>
    </row>
    <row r="2211" spans="1:5" x14ac:dyDescent="0.25">
      <c r="A2211" s="60">
        <v>272</v>
      </c>
      <c r="B2211" s="60" t="s">
        <v>120</v>
      </c>
      <c r="C2211" s="60">
        <v>50</v>
      </c>
      <c r="D2211" s="60">
        <v>0</v>
      </c>
      <c r="E2211" s="60">
        <f t="shared" si="34"/>
        <v>0</v>
      </c>
    </row>
    <row r="2212" spans="1:5" x14ac:dyDescent="0.25">
      <c r="A2212" s="60">
        <v>272</v>
      </c>
      <c r="B2212" s="60" t="s">
        <v>120</v>
      </c>
      <c r="C2212" s="60">
        <v>70</v>
      </c>
      <c r="D2212" s="60">
        <v>0</v>
      </c>
      <c r="E2212" s="60">
        <f t="shared" si="34"/>
        <v>0</v>
      </c>
    </row>
    <row r="2213" spans="1:5" x14ac:dyDescent="0.25">
      <c r="A2213" s="60">
        <v>272</v>
      </c>
      <c r="B2213" s="60" t="s">
        <v>120</v>
      </c>
      <c r="C2213" s="60">
        <v>110</v>
      </c>
      <c r="D2213" s="60">
        <v>7398360</v>
      </c>
      <c r="E2213" s="60">
        <f t="shared" si="34"/>
        <v>-7398360</v>
      </c>
    </row>
    <row r="2214" spans="1:5" x14ac:dyDescent="0.25">
      <c r="A2214" s="60">
        <v>272</v>
      </c>
      <c r="B2214" s="60" t="s">
        <v>120</v>
      </c>
      <c r="C2214" s="60">
        <v>120</v>
      </c>
      <c r="D2214" s="60">
        <v>2691700</v>
      </c>
      <c r="E2214" s="60">
        <f t="shared" si="34"/>
        <v>-2691700</v>
      </c>
    </row>
    <row r="2215" spans="1:5" x14ac:dyDescent="0.25">
      <c r="A2215" s="60">
        <v>272</v>
      </c>
      <c r="B2215" s="60" t="s">
        <v>120</v>
      </c>
      <c r="C2215" s="60">
        <v>130</v>
      </c>
      <c r="D2215" s="60">
        <v>1459760</v>
      </c>
      <c r="E2215" s="60">
        <f t="shared" si="34"/>
        <v>-1459760</v>
      </c>
    </row>
    <row r="2216" spans="1:5" x14ac:dyDescent="0.25">
      <c r="A2216" s="60">
        <v>272</v>
      </c>
      <c r="B2216" s="60" t="s">
        <v>120</v>
      </c>
      <c r="C2216" s="60">
        <v>140</v>
      </c>
      <c r="D2216" s="60">
        <v>0</v>
      </c>
      <c r="E2216" s="60">
        <f t="shared" si="34"/>
        <v>0</v>
      </c>
    </row>
    <row r="2217" spans="1:5" x14ac:dyDescent="0.25">
      <c r="A2217" s="60">
        <v>272</v>
      </c>
      <c r="B2217" s="60" t="s">
        <v>120</v>
      </c>
      <c r="C2217" s="60">
        <v>141</v>
      </c>
      <c r="D2217" s="60">
        <v>10441260</v>
      </c>
      <c r="E2217" s="60">
        <f t="shared" si="34"/>
        <v>-10441260</v>
      </c>
    </row>
    <row r="2218" spans="1:5" x14ac:dyDescent="0.25">
      <c r="A2218" s="60">
        <v>272</v>
      </c>
      <c r="B2218" s="60" t="s">
        <v>120</v>
      </c>
      <c r="C2218" s="60">
        <v>200</v>
      </c>
      <c r="D2218" s="60">
        <v>193266</v>
      </c>
      <c r="E2218" s="60">
        <f t="shared" si="34"/>
        <v>-193266</v>
      </c>
    </row>
    <row r="2219" spans="1:5" x14ac:dyDescent="0.25">
      <c r="A2219" s="60">
        <v>272</v>
      </c>
      <c r="B2219" s="60" t="s">
        <v>120</v>
      </c>
      <c r="C2219" s="60">
        <v>210</v>
      </c>
      <c r="D2219" s="60">
        <v>1335</v>
      </c>
      <c r="E2219" s="60">
        <f t="shared" si="34"/>
        <v>-1335</v>
      </c>
    </row>
    <row r="2220" spans="1:5" x14ac:dyDescent="0.25">
      <c r="A2220" s="60">
        <v>272</v>
      </c>
      <c r="B2220" s="60" t="s">
        <v>120</v>
      </c>
      <c r="C2220" s="60">
        <v>220</v>
      </c>
      <c r="D2220" s="60">
        <v>0</v>
      </c>
      <c r="E2220" s="60">
        <f t="shared" si="34"/>
        <v>0</v>
      </c>
    </row>
    <row r="2221" spans="1:5" x14ac:dyDescent="0.25">
      <c r="A2221" s="60">
        <v>272</v>
      </c>
      <c r="B2221" s="60" t="s">
        <v>120</v>
      </c>
      <c r="C2221" s="60">
        <v>230</v>
      </c>
      <c r="D2221" s="60">
        <v>4735</v>
      </c>
      <c r="E2221" s="60">
        <f t="shared" si="34"/>
        <v>-4735</v>
      </c>
    </row>
    <row r="2222" spans="1:5" x14ac:dyDescent="0.25">
      <c r="A2222" s="60">
        <v>272</v>
      </c>
      <c r="B2222" s="60" t="s">
        <v>120</v>
      </c>
      <c r="C2222" s="60">
        <v>298</v>
      </c>
      <c r="D2222" s="60">
        <v>0</v>
      </c>
      <c r="E2222" s="60">
        <f t="shared" si="34"/>
        <v>0</v>
      </c>
    </row>
    <row r="2223" spans="1:5" x14ac:dyDescent="0.25">
      <c r="A2223" s="60">
        <v>272</v>
      </c>
      <c r="B2223" s="60" t="s">
        <v>121</v>
      </c>
      <c r="C2223" s="60">
        <v>1</v>
      </c>
      <c r="D2223" s="60">
        <v>0</v>
      </c>
      <c r="E2223" s="60">
        <f t="shared" si="34"/>
        <v>0</v>
      </c>
    </row>
    <row r="2224" spans="1:5" x14ac:dyDescent="0.25">
      <c r="A2224" s="60">
        <v>272</v>
      </c>
      <c r="B2224" s="60" t="s">
        <v>121</v>
      </c>
      <c r="C2224" s="60">
        <v>10</v>
      </c>
      <c r="D2224" s="60">
        <v>0</v>
      </c>
      <c r="E2224" s="60">
        <f t="shared" si="34"/>
        <v>0</v>
      </c>
    </row>
    <row r="2225" spans="1:5" x14ac:dyDescent="0.25">
      <c r="A2225" s="60">
        <v>272</v>
      </c>
      <c r="B2225" s="60" t="s">
        <v>121</v>
      </c>
      <c r="C2225" s="60">
        <v>20</v>
      </c>
      <c r="D2225" s="60">
        <v>0</v>
      </c>
      <c r="E2225" s="60">
        <f t="shared" si="34"/>
        <v>0</v>
      </c>
    </row>
    <row r="2226" spans="1:5" x14ac:dyDescent="0.25">
      <c r="A2226" s="60">
        <v>272</v>
      </c>
      <c r="B2226" s="60" t="s">
        <v>121</v>
      </c>
      <c r="C2226" s="60">
        <v>110</v>
      </c>
      <c r="D2226" s="60">
        <v>0</v>
      </c>
      <c r="E2226" s="60">
        <f t="shared" si="34"/>
        <v>0</v>
      </c>
    </row>
    <row r="2227" spans="1:5" x14ac:dyDescent="0.25">
      <c r="A2227" s="60">
        <v>272</v>
      </c>
      <c r="B2227" s="60" t="s">
        <v>121</v>
      </c>
      <c r="C2227" s="60">
        <v>210</v>
      </c>
      <c r="D2227" s="60">
        <v>0</v>
      </c>
      <c r="E2227" s="60">
        <f t="shared" si="34"/>
        <v>0</v>
      </c>
    </row>
    <row r="2228" spans="1:5" x14ac:dyDescent="0.25">
      <c r="A2228" s="60">
        <v>272</v>
      </c>
      <c r="B2228" s="60" t="s">
        <v>121</v>
      </c>
      <c r="C2228" s="60">
        <v>230</v>
      </c>
      <c r="D2228" s="60">
        <v>0</v>
      </c>
      <c r="E2228" s="60">
        <f t="shared" si="34"/>
        <v>0</v>
      </c>
    </row>
    <row r="2229" spans="1:5" x14ac:dyDescent="0.25">
      <c r="A2229" s="60">
        <v>282</v>
      </c>
      <c r="B2229" s="60" t="s">
        <v>117</v>
      </c>
      <c r="C2229" s="60">
        <v>1</v>
      </c>
      <c r="D2229" s="60">
        <v>0</v>
      </c>
      <c r="E2229" s="60">
        <f t="shared" si="34"/>
        <v>0</v>
      </c>
    </row>
    <row r="2230" spans="1:5" x14ac:dyDescent="0.25">
      <c r="A2230" s="60">
        <v>282</v>
      </c>
      <c r="B2230" s="60" t="s">
        <v>117</v>
      </c>
      <c r="C2230" s="60">
        <v>10</v>
      </c>
      <c r="D2230" s="60">
        <v>0</v>
      </c>
      <c r="E2230" s="60">
        <f t="shared" si="34"/>
        <v>0</v>
      </c>
    </row>
    <row r="2231" spans="1:5" x14ac:dyDescent="0.25">
      <c r="A2231" s="60">
        <v>282</v>
      </c>
      <c r="B2231" s="60" t="s">
        <v>117</v>
      </c>
      <c r="C2231" s="60">
        <v>20</v>
      </c>
      <c r="D2231" s="60">
        <v>0</v>
      </c>
      <c r="E2231" s="60">
        <f t="shared" si="34"/>
        <v>0</v>
      </c>
    </row>
    <row r="2232" spans="1:5" x14ac:dyDescent="0.25">
      <c r="A2232" s="60">
        <v>282</v>
      </c>
      <c r="B2232" s="60" t="s">
        <v>117</v>
      </c>
      <c r="C2232" s="60">
        <v>50</v>
      </c>
      <c r="D2232" s="60">
        <v>0</v>
      </c>
      <c r="E2232" s="60">
        <f t="shared" si="34"/>
        <v>0</v>
      </c>
    </row>
    <row r="2233" spans="1:5" x14ac:dyDescent="0.25">
      <c r="A2233" s="60">
        <v>282</v>
      </c>
      <c r="B2233" s="60" t="s">
        <v>117</v>
      </c>
      <c r="C2233" s="60">
        <v>70</v>
      </c>
      <c r="D2233" s="60">
        <v>0</v>
      </c>
      <c r="E2233" s="60">
        <f t="shared" si="34"/>
        <v>0</v>
      </c>
    </row>
    <row r="2234" spans="1:5" x14ac:dyDescent="0.25">
      <c r="A2234" s="60">
        <v>282</v>
      </c>
      <c r="B2234" s="60" t="s">
        <v>117</v>
      </c>
      <c r="C2234" s="60">
        <v>110</v>
      </c>
      <c r="D2234" s="60">
        <v>0</v>
      </c>
      <c r="E2234" s="60">
        <f t="shared" si="34"/>
        <v>0</v>
      </c>
    </row>
    <row r="2235" spans="1:5" x14ac:dyDescent="0.25">
      <c r="A2235" s="60">
        <v>282</v>
      </c>
      <c r="B2235" s="60" t="s">
        <v>117</v>
      </c>
      <c r="C2235" s="60">
        <v>120</v>
      </c>
      <c r="D2235" s="60">
        <v>0</v>
      </c>
      <c r="E2235" s="60">
        <f t="shared" si="34"/>
        <v>0</v>
      </c>
    </row>
    <row r="2236" spans="1:5" x14ac:dyDescent="0.25">
      <c r="A2236" s="60">
        <v>282</v>
      </c>
      <c r="B2236" s="60" t="s">
        <v>117</v>
      </c>
      <c r="C2236" s="60">
        <v>130</v>
      </c>
      <c r="D2236" s="60">
        <v>0</v>
      </c>
      <c r="E2236" s="60">
        <f t="shared" si="34"/>
        <v>0</v>
      </c>
    </row>
    <row r="2237" spans="1:5" x14ac:dyDescent="0.25">
      <c r="A2237" s="60">
        <v>282</v>
      </c>
      <c r="B2237" s="60" t="s">
        <v>117</v>
      </c>
      <c r="C2237" s="60">
        <v>140</v>
      </c>
      <c r="D2237" s="60">
        <v>0</v>
      </c>
      <c r="E2237" s="60">
        <f t="shared" si="34"/>
        <v>0</v>
      </c>
    </row>
    <row r="2238" spans="1:5" x14ac:dyDescent="0.25">
      <c r="A2238" s="60">
        <v>282</v>
      </c>
      <c r="B2238" s="60" t="s">
        <v>117</v>
      </c>
      <c r="C2238" s="60">
        <v>200</v>
      </c>
      <c r="D2238" s="60">
        <v>0</v>
      </c>
      <c r="E2238" s="60">
        <f t="shared" si="34"/>
        <v>0</v>
      </c>
    </row>
    <row r="2239" spans="1:5" x14ac:dyDescent="0.25">
      <c r="A2239" s="60">
        <v>282</v>
      </c>
      <c r="B2239" s="60" t="s">
        <v>117</v>
      </c>
      <c r="C2239" s="60">
        <v>210</v>
      </c>
      <c r="D2239" s="60">
        <v>0</v>
      </c>
      <c r="E2239" s="60">
        <f t="shared" si="34"/>
        <v>0</v>
      </c>
    </row>
    <row r="2240" spans="1:5" x14ac:dyDescent="0.25">
      <c r="A2240" s="60">
        <v>282</v>
      </c>
      <c r="B2240" s="60" t="s">
        <v>117</v>
      </c>
      <c r="C2240" s="60">
        <v>220</v>
      </c>
      <c r="D2240" s="60">
        <v>0</v>
      </c>
      <c r="E2240" s="60">
        <f t="shared" si="34"/>
        <v>0</v>
      </c>
    </row>
    <row r="2241" spans="1:5" x14ac:dyDescent="0.25">
      <c r="A2241" s="60">
        <v>282</v>
      </c>
      <c r="B2241" s="60" t="s">
        <v>117</v>
      </c>
      <c r="C2241" s="60">
        <v>230</v>
      </c>
      <c r="D2241" s="60">
        <v>0</v>
      </c>
      <c r="E2241" s="60">
        <f t="shared" si="34"/>
        <v>0</v>
      </c>
    </row>
    <row r="2242" spans="1:5" x14ac:dyDescent="0.25">
      <c r="A2242" s="60">
        <v>282</v>
      </c>
      <c r="B2242" s="60" t="s">
        <v>117</v>
      </c>
      <c r="C2242" s="60">
        <v>298</v>
      </c>
      <c r="D2242" s="60">
        <v>0</v>
      </c>
      <c r="E2242" s="60">
        <f t="shared" ref="E2242:E2305" si="35">IF(C2242&lt;100,D2242,D2242*-1)</f>
        <v>0</v>
      </c>
    </row>
    <row r="2243" spans="1:5" x14ac:dyDescent="0.25">
      <c r="A2243" s="60">
        <v>282</v>
      </c>
      <c r="B2243" s="60" t="s">
        <v>118</v>
      </c>
      <c r="C2243" s="60">
        <v>1</v>
      </c>
      <c r="D2243" s="60">
        <v>0</v>
      </c>
      <c r="E2243" s="60">
        <f t="shared" si="35"/>
        <v>0</v>
      </c>
    </row>
    <row r="2244" spans="1:5" x14ac:dyDescent="0.25">
      <c r="A2244" s="60">
        <v>282</v>
      </c>
      <c r="B2244" s="60" t="s">
        <v>118</v>
      </c>
      <c r="C2244" s="60">
        <v>10</v>
      </c>
      <c r="D2244" s="60">
        <v>0</v>
      </c>
      <c r="E2244" s="60">
        <f t="shared" si="35"/>
        <v>0</v>
      </c>
    </row>
    <row r="2245" spans="1:5" x14ac:dyDescent="0.25">
      <c r="A2245" s="60">
        <v>282</v>
      </c>
      <c r="B2245" s="60" t="s">
        <v>118</v>
      </c>
      <c r="C2245" s="60">
        <v>20</v>
      </c>
      <c r="D2245" s="60">
        <v>0</v>
      </c>
      <c r="E2245" s="60">
        <f t="shared" si="35"/>
        <v>0</v>
      </c>
    </row>
    <row r="2246" spans="1:5" x14ac:dyDescent="0.25">
      <c r="A2246" s="60">
        <v>282</v>
      </c>
      <c r="B2246" s="60" t="s">
        <v>118</v>
      </c>
      <c r="C2246" s="60">
        <v>50</v>
      </c>
      <c r="D2246" s="60">
        <v>0</v>
      </c>
      <c r="E2246" s="60">
        <f t="shared" si="35"/>
        <v>0</v>
      </c>
    </row>
    <row r="2247" spans="1:5" x14ac:dyDescent="0.25">
      <c r="A2247" s="60">
        <v>282</v>
      </c>
      <c r="B2247" s="60" t="s">
        <v>118</v>
      </c>
      <c r="C2247" s="60">
        <v>70</v>
      </c>
      <c r="D2247" s="60">
        <v>0</v>
      </c>
      <c r="E2247" s="60">
        <f t="shared" si="35"/>
        <v>0</v>
      </c>
    </row>
    <row r="2248" spans="1:5" x14ac:dyDescent="0.25">
      <c r="A2248" s="60">
        <v>282</v>
      </c>
      <c r="B2248" s="60" t="s">
        <v>118</v>
      </c>
      <c r="C2248" s="60">
        <v>110</v>
      </c>
      <c r="D2248" s="60">
        <v>0</v>
      </c>
      <c r="E2248" s="60">
        <f t="shared" si="35"/>
        <v>0</v>
      </c>
    </row>
    <row r="2249" spans="1:5" x14ac:dyDescent="0.25">
      <c r="A2249" s="60">
        <v>282</v>
      </c>
      <c r="B2249" s="60" t="s">
        <v>118</v>
      </c>
      <c r="C2249" s="60">
        <v>120</v>
      </c>
      <c r="D2249" s="60">
        <v>0</v>
      </c>
      <c r="E2249" s="60">
        <f t="shared" si="35"/>
        <v>0</v>
      </c>
    </row>
    <row r="2250" spans="1:5" x14ac:dyDescent="0.25">
      <c r="A2250" s="60">
        <v>282</v>
      </c>
      <c r="B2250" s="60" t="s">
        <v>118</v>
      </c>
      <c r="C2250" s="60">
        <v>130</v>
      </c>
      <c r="D2250" s="60">
        <v>0</v>
      </c>
      <c r="E2250" s="60">
        <f t="shared" si="35"/>
        <v>0</v>
      </c>
    </row>
    <row r="2251" spans="1:5" x14ac:dyDescent="0.25">
      <c r="A2251" s="60">
        <v>282</v>
      </c>
      <c r="B2251" s="60" t="s">
        <v>118</v>
      </c>
      <c r="C2251" s="60">
        <v>140</v>
      </c>
      <c r="D2251" s="60">
        <v>0</v>
      </c>
      <c r="E2251" s="60">
        <f t="shared" si="35"/>
        <v>0</v>
      </c>
    </row>
    <row r="2252" spans="1:5" x14ac:dyDescent="0.25">
      <c r="A2252" s="60">
        <v>282</v>
      </c>
      <c r="B2252" s="60" t="s">
        <v>118</v>
      </c>
      <c r="C2252" s="60">
        <v>200</v>
      </c>
      <c r="D2252" s="60">
        <v>0</v>
      </c>
      <c r="E2252" s="60">
        <f t="shared" si="35"/>
        <v>0</v>
      </c>
    </row>
    <row r="2253" spans="1:5" x14ac:dyDescent="0.25">
      <c r="A2253" s="60">
        <v>282</v>
      </c>
      <c r="B2253" s="60" t="s">
        <v>118</v>
      </c>
      <c r="C2253" s="60">
        <v>210</v>
      </c>
      <c r="D2253" s="60">
        <v>0</v>
      </c>
      <c r="E2253" s="60">
        <f t="shared" si="35"/>
        <v>0</v>
      </c>
    </row>
    <row r="2254" spans="1:5" x14ac:dyDescent="0.25">
      <c r="A2254" s="60">
        <v>282</v>
      </c>
      <c r="B2254" s="60" t="s">
        <v>118</v>
      </c>
      <c r="C2254" s="60">
        <v>220</v>
      </c>
      <c r="D2254" s="60">
        <v>0</v>
      </c>
      <c r="E2254" s="60">
        <f t="shared" si="35"/>
        <v>0</v>
      </c>
    </row>
    <row r="2255" spans="1:5" x14ac:dyDescent="0.25">
      <c r="A2255" s="60">
        <v>282</v>
      </c>
      <c r="B2255" s="60" t="s">
        <v>118</v>
      </c>
      <c r="C2255" s="60">
        <v>230</v>
      </c>
      <c r="D2255" s="60">
        <v>0</v>
      </c>
      <c r="E2255" s="60">
        <f t="shared" si="35"/>
        <v>0</v>
      </c>
    </row>
    <row r="2256" spans="1:5" x14ac:dyDescent="0.25">
      <c r="A2256" s="60">
        <v>282</v>
      </c>
      <c r="B2256" s="60" t="s">
        <v>118</v>
      </c>
      <c r="C2256" s="60">
        <v>298</v>
      </c>
      <c r="D2256" s="60">
        <v>0</v>
      </c>
      <c r="E2256" s="60">
        <f t="shared" si="35"/>
        <v>0</v>
      </c>
    </row>
    <row r="2257" spans="1:5" x14ac:dyDescent="0.25">
      <c r="A2257" s="60">
        <v>282</v>
      </c>
      <c r="B2257" s="60" t="s">
        <v>119</v>
      </c>
      <c r="C2257" s="60">
        <v>1</v>
      </c>
      <c r="D2257" s="60">
        <v>0</v>
      </c>
      <c r="E2257" s="60">
        <f t="shared" si="35"/>
        <v>0</v>
      </c>
    </row>
    <row r="2258" spans="1:5" x14ac:dyDescent="0.25">
      <c r="A2258" s="60">
        <v>282</v>
      </c>
      <c r="B2258" s="60" t="s">
        <v>119</v>
      </c>
      <c r="C2258" s="60">
        <v>10</v>
      </c>
      <c r="D2258" s="60">
        <v>0</v>
      </c>
      <c r="E2258" s="60">
        <f t="shared" si="35"/>
        <v>0</v>
      </c>
    </row>
    <row r="2259" spans="1:5" x14ac:dyDescent="0.25">
      <c r="A2259" s="60">
        <v>282</v>
      </c>
      <c r="B2259" s="60" t="s">
        <v>119</v>
      </c>
      <c r="C2259" s="60">
        <v>20</v>
      </c>
      <c r="D2259" s="60">
        <v>0</v>
      </c>
      <c r="E2259" s="60">
        <f t="shared" si="35"/>
        <v>0</v>
      </c>
    </row>
    <row r="2260" spans="1:5" x14ac:dyDescent="0.25">
      <c r="A2260" s="60">
        <v>282</v>
      </c>
      <c r="B2260" s="60" t="s">
        <v>119</v>
      </c>
      <c r="C2260" s="60">
        <v>50</v>
      </c>
      <c r="D2260" s="60">
        <v>0</v>
      </c>
      <c r="E2260" s="60">
        <f t="shared" si="35"/>
        <v>0</v>
      </c>
    </row>
    <row r="2261" spans="1:5" x14ac:dyDescent="0.25">
      <c r="A2261" s="60">
        <v>282</v>
      </c>
      <c r="B2261" s="60" t="s">
        <v>119</v>
      </c>
      <c r="C2261" s="60">
        <v>70</v>
      </c>
      <c r="D2261" s="60">
        <v>0</v>
      </c>
      <c r="E2261" s="60">
        <f t="shared" si="35"/>
        <v>0</v>
      </c>
    </row>
    <row r="2262" spans="1:5" x14ac:dyDescent="0.25">
      <c r="A2262" s="60">
        <v>282</v>
      </c>
      <c r="B2262" s="60" t="s">
        <v>119</v>
      </c>
      <c r="C2262" s="60">
        <v>110</v>
      </c>
      <c r="D2262" s="60">
        <v>0</v>
      </c>
      <c r="E2262" s="60">
        <f t="shared" si="35"/>
        <v>0</v>
      </c>
    </row>
    <row r="2263" spans="1:5" x14ac:dyDescent="0.25">
      <c r="A2263" s="60">
        <v>282</v>
      </c>
      <c r="B2263" s="60" t="s">
        <v>119</v>
      </c>
      <c r="C2263" s="60">
        <v>140</v>
      </c>
      <c r="D2263" s="60">
        <v>0</v>
      </c>
      <c r="E2263" s="60">
        <f t="shared" si="35"/>
        <v>0</v>
      </c>
    </row>
    <row r="2264" spans="1:5" x14ac:dyDescent="0.25">
      <c r="A2264" s="60">
        <v>282</v>
      </c>
      <c r="B2264" s="60" t="s">
        <v>119</v>
      </c>
      <c r="C2264" s="60">
        <v>200</v>
      </c>
      <c r="D2264" s="60">
        <v>0</v>
      </c>
      <c r="E2264" s="60">
        <f t="shared" si="35"/>
        <v>0</v>
      </c>
    </row>
    <row r="2265" spans="1:5" x14ac:dyDescent="0.25">
      <c r="A2265" s="60">
        <v>282</v>
      </c>
      <c r="B2265" s="60" t="s">
        <v>119</v>
      </c>
      <c r="C2265" s="60">
        <v>210</v>
      </c>
      <c r="D2265" s="60">
        <v>0</v>
      </c>
      <c r="E2265" s="60">
        <f t="shared" si="35"/>
        <v>0</v>
      </c>
    </row>
    <row r="2266" spans="1:5" x14ac:dyDescent="0.25">
      <c r="A2266" s="60">
        <v>282</v>
      </c>
      <c r="B2266" s="60" t="s">
        <v>119</v>
      </c>
      <c r="C2266" s="60">
        <v>220</v>
      </c>
      <c r="D2266" s="60">
        <v>0</v>
      </c>
      <c r="E2266" s="60">
        <f t="shared" si="35"/>
        <v>0</v>
      </c>
    </row>
    <row r="2267" spans="1:5" x14ac:dyDescent="0.25">
      <c r="A2267" s="60">
        <v>282</v>
      </c>
      <c r="B2267" s="60" t="s">
        <v>119</v>
      </c>
      <c r="C2267" s="60">
        <v>230</v>
      </c>
      <c r="D2267" s="60">
        <v>0</v>
      </c>
      <c r="E2267" s="60">
        <f t="shared" si="35"/>
        <v>0</v>
      </c>
    </row>
    <row r="2268" spans="1:5" x14ac:dyDescent="0.25">
      <c r="A2268" s="60">
        <v>282</v>
      </c>
      <c r="B2268" s="60" t="s">
        <v>119</v>
      </c>
      <c r="C2268" s="60">
        <v>270</v>
      </c>
      <c r="D2268" s="60">
        <v>0</v>
      </c>
      <c r="E2268" s="60">
        <f t="shared" si="35"/>
        <v>0</v>
      </c>
    </row>
    <row r="2269" spans="1:5" x14ac:dyDescent="0.25">
      <c r="A2269" s="60">
        <v>282</v>
      </c>
      <c r="B2269" s="60" t="s">
        <v>119</v>
      </c>
      <c r="C2269" s="60">
        <v>298</v>
      </c>
      <c r="D2269" s="60">
        <v>0</v>
      </c>
      <c r="E2269" s="60">
        <f t="shared" si="35"/>
        <v>0</v>
      </c>
    </row>
    <row r="2270" spans="1:5" x14ac:dyDescent="0.25">
      <c r="A2270" s="60">
        <v>282</v>
      </c>
      <c r="B2270" s="60" t="s">
        <v>120</v>
      </c>
      <c r="C2270" s="60">
        <v>1</v>
      </c>
      <c r="D2270" s="60">
        <v>0</v>
      </c>
      <c r="E2270" s="60">
        <f t="shared" si="35"/>
        <v>0</v>
      </c>
    </row>
    <row r="2271" spans="1:5" x14ac:dyDescent="0.25">
      <c r="A2271" s="60">
        <v>282</v>
      </c>
      <c r="B2271" s="60" t="s">
        <v>120</v>
      </c>
      <c r="C2271" s="60">
        <v>10</v>
      </c>
      <c r="D2271" s="60">
        <v>0</v>
      </c>
      <c r="E2271" s="60">
        <f t="shared" si="35"/>
        <v>0</v>
      </c>
    </row>
    <row r="2272" spans="1:5" x14ac:dyDescent="0.25">
      <c r="A2272" s="60">
        <v>282</v>
      </c>
      <c r="B2272" s="60" t="s">
        <v>120</v>
      </c>
      <c r="C2272" s="60">
        <v>20</v>
      </c>
      <c r="D2272" s="60">
        <v>0</v>
      </c>
      <c r="E2272" s="60">
        <f t="shared" si="35"/>
        <v>0</v>
      </c>
    </row>
    <row r="2273" spans="1:5" x14ac:dyDescent="0.25">
      <c r="A2273" s="60">
        <v>282</v>
      </c>
      <c r="B2273" s="60" t="s">
        <v>120</v>
      </c>
      <c r="C2273" s="60">
        <v>70</v>
      </c>
      <c r="D2273" s="60">
        <v>0</v>
      </c>
      <c r="E2273" s="60">
        <f t="shared" si="35"/>
        <v>0</v>
      </c>
    </row>
    <row r="2274" spans="1:5" x14ac:dyDescent="0.25">
      <c r="A2274" s="60">
        <v>282</v>
      </c>
      <c r="B2274" s="60" t="s">
        <v>120</v>
      </c>
      <c r="C2274" s="60">
        <v>110</v>
      </c>
      <c r="D2274" s="60">
        <v>0</v>
      </c>
      <c r="E2274" s="60">
        <f t="shared" si="35"/>
        <v>0</v>
      </c>
    </row>
    <row r="2275" spans="1:5" x14ac:dyDescent="0.25">
      <c r="A2275" s="60">
        <v>282</v>
      </c>
      <c r="B2275" s="60" t="s">
        <v>120</v>
      </c>
      <c r="C2275" s="60">
        <v>120</v>
      </c>
      <c r="D2275" s="60">
        <v>0</v>
      </c>
      <c r="E2275" s="60">
        <f t="shared" si="35"/>
        <v>0</v>
      </c>
    </row>
    <row r="2276" spans="1:5" x14ac:dyDescent="0.25">
      <c r="A2276" s="60">
        <v>282</v>
      </c>
      <c r="B2276" s="60" t="s">
        <v>120</v>
      </c>
      <c r="C2276" s="60">
        <v>130</v>
      </c>
      <c r="D2276" s="60">
        <v>0</v>
      </c>
      <c r="E2276" s="60">
        <f t="shared" si="35"/>
        <v>0</v>
      </c>
    </row>
    <row r="2277" spans="1:5" x14ac:dyDescent="0.25">
      <c r="A2277" s="60">
        <v>282</v>
      </c>
      <c r="B2277" s="60" t="s">
        <v>120</v>
      </c>
      <c r="C2277" s="60">
        <v>140</v>
      </c>
      <c r="D2277" s="60">
        <v>0</v>
      </c>
      <c r="E2277" s="60">
        <f t="shared" si="35"/>
        <v>0</v>
      </c>
    </row>
    <row r="2278" spans="1:5" x14ac:dyDescent="0.25">
      <c r="A2278" s="60">
        <v>282</v>
      </c>
      <c r="B2278" s="60" t="s">
        <v>120</v>
      </c>
      <c r="C2278" s="60">
        <v>200</v>
      </c>
      <c r="D2278" s="60">
        <v>0</v>
      </c>
      <c r="E2278" s="60">
        <f t="shared" si="35"/>
        <v>0</v>
      </c>
    </row>
    <row r="2279" spans="1:5" x14ac:dyDescent="0.25">
      <c r="A2279" s="60">
        <v>282</v>
      </c>
      <c r="B2279" s="60" t="s">
        <v>120</v>
      </c>
      <c r="C2279" s="60">
        <v>230</v>
      </c>
      <c r="D2279" s="60">
        <v>0</v>
      </c>
      <c r="E2279" s="60">
        <f t="shared" si="35"/>
        <v>0</v>
      </c>
    </row>
    <row r="2280" spans="1:5" x14ac:dyDescent="0.25">
      <c r="A2280" s="60">
        <v>282</v>
      </c>
      <c r="B2280" s="60" t="s">
        <v>121</v>
      </c>
      <c r="C2280" s="60">
        <v>1</v>
      </c>
      <c r="D2280" s="60">
        <v>0</v>
      </c>
      <c r="E2280" s="60">
        <f t="shared" si="35"/>
        <v>0</v>
      </c>
    </row>
    <row r="2281" spans="1:5" x14ac:dyDescent="0.25">
      <c r="A2281" s="60">
        <v>282</v>
      </c>
      <c r="B2281" s="60" t="s">
        <v>121</v>
      </c>
      <c r="C2281" s="60">
        <v>10</v>
      </c>
      <c r="D2281" s="60">
        <v>0</v>
      </c>
      <c r="E2281" s="60">
        <f t="shared" si="35"/>
        <v>0</v>
      </c>
    </row>
    <row r="2282" spans="1:5" x14ac:dyDescent="0.25">
      <c r="A2282" s="60">
        <v>282</v>
      </c>
      <c r="B2282" s="60" t="s">
        <v>121</v>
      </c>
      <c r="C2282" s="60">
        <v>20</v>
      </c>
      <c r="D2282" s="60">
        <v>0</v>
      </c>
      <c r="E2282" s="60">
        <f t="shared" si="35"/>
        <v>0</v>
      </c>
    </row>
    <row r="2283" spans="1:5" x14ac:dyDescent="0.25">
      <c r="A2283" s="60">
        <v>282</v>
      </c>
      <c r="B2283" s="60" t="s">
        <v>121</v>
      </c>
      <c r="C2283" s="60">
        <v>110</v>
      </c>
      <c r="D2283" s="60">
        <v>0</v>
      </c>
      <c r="E2283" s="60">
        <f t="shared" si="35"/>
        <v>0</v>
      </c>
    </row>
    <row r="2284" spans="1:5" x14ac:dyDescent="0.25">
      <c r="A2284" s="60">
        <v>282</v>
      </c>
      <c r="B2284" s="60" t="s">
        <v>121</v>
      </c>
      <c r="C2284" s="60">
        <v>120</v>
      </c>
      <c r="D2284" s="60">
        <v>0</v>
      </c>
      <c r="E2284" s="60">
        <f t="shared" si="35"/>
        <v>0</v>
      </c>
    </row>
    <row r="2285" spans="1:5" x14ac:dyDescent="0.25">
      <c r="A2285" s="60">
        <v>282</v>
      </c>
      <c r="B2285" s="60" t="s">
        <v>121</v>
      </c>
      <c r="C2285" s="60">
        <v>140</v>
      </c>
      <c r="D2285" s="60">
        <v>0</v>
      </c>
      <c r="E2285" s="60">
        <f t="shared" si="35"/>
        <v>0</v>
      </c>
    </row>
    <row r="2286" spans="1:5" x14ac:dyDescent="0.25">
      <c r="A2286" s="60">
        <v>282</v>
      </c>
      <c r="B2286" s="60" t="s">
        <v>121</v>
      </c>
      <c r="C2286" s="60">
        <v>210</v>
      </c>
      <c r="D2286" s="60">
        <v>0</v>
      </c>
      <c r="E2286" s="60">
        <f t="shared" si="35"/>
        <v>0</v>
      </c>
    </row>
    <row r="2287" spans="1:5" x14ac:dyDescent="0.25">
      <c r="A2287" s="60">
        <v>291</v>
      </c>
      <c r="B2287" s="60" t="s">
        <v>118</v>
      </c>
      <c r="C2287" s="60">
        <v>10</v>
      </c>
      <c r="D2287" s="60">
        <v>0</v>
      </c>
      <c r="E2287" s="60">
        <f t="shared" si="35"/>
        <v>0</v>
      </c>
    </row>
    <row r="2288" spans="1:5" x14ac:dyDescent="0.25">
      <c r="A2288" s="60">
        <v>291</v>
      </c>
      <c r="B2288" s="60" t="s">
        <v>120</v>
      </c>
      <c r="C2288" s="60">
        <v>1</v>
      </c>
      <c r="D2288" s="60">
        <v>28741116</v>
      </c>
      <c r="E2288" s="60">
        <f t="shared" si="35"/>
        <v>28741116</v>
      </c>
    </row>
    <row r="2289" spans="1:5" x14ac:dyDescent="0.25">
      <c r="A2289" s="60">
        <v>291</v>
      </c>
      <c r="B2289" s="60" t="s">
        <v>120</v>
      </c>
      <c r="C2289" s="60">
        <v>10</v>
      </c>
      <c r="D2289" s="60">
        <v>1067840</v>
      </c>
      <c r="E2289" s="60">
        <f t="shared" si="35"/>
        <v>1067840</v>
      </c>
    </row>
    <row r="2290" spans="1:5" x14ac:dyDescent="0.25">
      <c r="A2290" s="60">
        <v>291</v>
      </c>
      <c r="B2290" s="60" t="s">
        <v>120</v>
      </c>
      <c r="C2290" s="60">
        <v>50</v>
      </c>
      <c r="D2290" s="60">
        <v>28670040</v>
      </c>
      <c r="E2290" s="60">
        <f t="shared" si="35"/>
        <v>28670040</v>
      </c>
    </row>
    <row r="2291" spans="1:5" x14ac:dyDescent="0.25">
      <c r="A2291" s="60">
        <v>291</v>
      </c>
      <c r="B2291" s="60" t="s">
        <v>120</v>
      </c>
      <c r="C2291" s="60">
        <v>70</v>
      </c>
      <c r="D2291" s="60">
        <v>-609876</v>
      </c>
      <c r="E2291" s="60">
        <f t="shared" si="35"/>
        <v>-609876</v>
      </c>
    </row>
    <row r="2292" spans="1:5" x14ac:dyDescent="0.25">
      <c r="A2292" s="60">
        <v>291</v>
      </c>
      <c r="B2292" s="60" t="s">
        <v>120</v>
      </c>
      <c r="C2292" s="60">
        <v>110</v>
      </c>
      <c r="D2292" s="60">
        <v>9793300</v>
      </c>
      <c r="E2292" s="60">
        <f t="shared" si="35"/>
        <v>-9793300</v>
      </c>
    </row>
    <row r="2293" spans="1:5" x14ac:dyDescent="0.25">
      <c r="A2293" s="60">
        <v>291</v>
      </c>
      <c r="B2293" s="60" t="s">
        <v>120</v>
      </c>
      <c r="C2293" s="60">
        <v>120</v>
      </c>
      <c r="D2293" s="60">
        <v>1200</v>
      </c>
      <c r="E2293" s="60">
        <f t="shared" si="35"/>
        <v>-1200</v>
      </c>
    </row>
    <row r="2294" spans="1:5" x14ac:dyDescent="0.25">
      <c r="A2294" s="60">
        <v>291</v>
      </c>
      <c r="B2294" s="60" t="s">
        <v>120</v>
      </c>
      <c r="C2294" s="60">
        <v>140</v>
      </c>
      <c r="D2294" s="60">
        <v>5197560</v>
      </c>
      <c r="E2294" s="60">
        <f t="shared" si="35"/>
        <v>-5197560</v>
      </c>
    </row>
    <row r="2295" spans="1:5" x14ac:dyDescent="0.25">
      <c r="A2295" s="60">
        <v>291</v>
      </c>
      <c r="B2295" s="60" t="s">
        <v>120</v>
      </c>
      <c r="C2295" s="60">
        <v>141</v>
      </c>
      <c r="D2295" s="60">
        <v>24914260</v>
      </c>
      <c r="E2295" s="60">
        <f t="shared" si="35"/>
        <v>-24914260</v>
      </c>
    </row>
    <row r="2296" spans="1:5" x14ac:dyDescent="0.25">
      <c r="A2296" s="60">
        <v>291</v>
      </c>
      <c r="B2296" s="60" t="s">
        <v>120</v>
      </c>
      <c r="C2296" s="60">
        <v>200</v>
      </c>
      <c r="D2296" s="60">
        <v>10678</v>
      </c>
      <c r="E2296" s="60">
        <f t="shared" si="35"/>
        <v>-10678</v>
      </c>
    </row>
    <row r="2297" spans="1:5" x14ac:dyDescent="0.25">
      <c r="A2297" s="60">
        <v>291</v>
      </c>
      <c r="B2297" s="60" t="s">
        <v>120</v>
      </c>
      <c r="C2297" s="60">
        <v>210</v>
      </c>
      <c r="D2297" s="60">
        <v>0</v>
      </c>
      <c r="E2297" s="60">
        <f t="shared" si="35"/>
        <v>0</v>
      </c>
    </row>
    <row r="2298" spans="1:5" x14ac:dyDescent="0.25">
      <c r="A2298" s="60">
        <v>291</v>
      </c>
      <c r="B2298" s="60" t="s">
        <v>120</v>
      </c>
      <c r="C2298" s="60">
        <v>230</v>
      </c>
      <c r="D2298" s="60">
        <v>0</v>
      </c>
      <c r="E2298" s="60">
        <f t="shared" si="35"/>
        <v>0</v>
      </c>
    </row>
    <row r="2299" spans="1:5" x14ac:dyDescent="0.25">
      <c r="A2299" s="60">
        <v>292</v>
      </c>
      <c r="B2299" s="60" t="s">
        <v>117</v>
      </c>
      <c r="C2299" s="60">
        <v>1</v>
      </c>
      <c r="D2299" s="60">
        <v>0</v>
      </c>
      <c r="E2299" s="60">
        <f t="shared" si="35"/>
        <v>0</v>
      </c>
    </row>
    <row r="2300" spans="1:5" x14ac:dyDescent="0.25">
      <c r="A2300" s="60">
        <v>292</v>
      </c>
      <c r="B2300" s="60" t="s">
        <v>117</v>
      </c>
      <c r="C2300" s="60">
        <v>10</v>
      </c>
      <c r="D2300" s="60">
        <v>20455480</v>
      </c>
      <c r="E2300" s="60">
        <f t="shared" si="35"/>
        <v>20455480</v>
      </c>
    </row>
    <row r="2301" spans="1:5" x14ac:dyDescent="0.25">
      <c r="A2301" s="60">
        <v>292</v>
      </c>
      <c r="B2301" s="60" t="s">
        <v>117</v>
      </c>
      <c r="C2301" s="60">
        <v>20</v>
      </c>
      <c r="D2301" s="60">
        <v>156036</v>
      </c>
      <c r="E2301" s="60">
        <f t="shared" si="35"/>
        <v>156036</v>
      </c>
    </row>
    <row r="2302" spans="1:5" x14ac:dyDescent="0.25">
      <c r="A2302" s="60">
        <v>292</v>
      </c>
      <c r="B2302" s="60" t="s">
        <v>117</v>
      </c>
      <c r="C2302" s="60">
        <v>50</v>
      </c>
      <c r="D2302" s="60">
        <v>0</v>
      </c>
      <c r="E2302" s="60">
        <f t="shared" si="35"/>
        <v>0</v>
      </c>
    </row>
    <row r="2303" spans="1:5" x14ac:dyDescent="0.25">
      <c r="A2303" s="60">
        <v>292</v>
      </c>
      <c r="B2303" s="60" t="s">
        <v>117</v>
      </c>
      <c r="C2303" s="60">
        <v>70</v>
      </c>
      <c r="D2303" s="60">
        <v>0</v>
      </c>
      <c r="E2303" s="60">
        <f t="shared" si="35"/>
        <v>0</v>
      </c>
    </row>
    <row r="2304" spans="1:5" x14ac:dyDescent="0.25">
      <c r="A2304" s="60">
        <v>292</v>
      </c>
      <c r="B2304" s="60" t="s">
        <v>117</v>
      </c>
      <c r="C2304" s="60">
        <v>110</v>
      </c>
      <c r="D2304" s="60">
        <v>211420</v>
      </c>
      <c r="E2304" s="60">
        <f t="shared" si="35"/>
        <v>-211420</v>
      </c>
    </row>
    <row r="2305" spans="1:5" x14ac:dyDescent="0.25">
      <c r="A2305" s="60">
        <v>292</v>
      </c>
      <c r="B2305" s="60" t="s">
        <v>117</v>
      </c>
      <c r="C2305" s="60">
        <v>120</v>
      </c>
      <c r="D2305" s="60">
        <v>1100</v>
      </c>
      <c r="E2305" s="60">
        <f t="shared" si="35"/>
        <v>-1100</v>
      </c>
    </row>
    <row r="2306" spans="1:5" x14ac:dyDescent="0.25">
      <c r="A2306" s="60">
        <v>292</v>
      </c>
      <c r="B2306" s="60" t="s">
        <v>117</v>
      </c>
      <c r="C2306" s="60">
        <v>130</v>
      </c>
      <c r="D2306" s="60">
        <v>0</v>
      </c>
      <c r="E2306" s="60">
        <f t="shared" ref="E2306:E2369" si="36">IF(C2306&lt;100,D2306,D2306*-1)</f>
        <v>0</v>
      </c>
    </row>
    <row r="2307" spans="1:5" x14ac:dyDescent="0.25">
      <c r="A2307" s="60">
        <v>292</v>
      </c>
      <c r="B2307" s="60" t="s">
        <v>117</v>
      </c>
      <c r="C2307" s="60">
        <v>140</v>
      </c>
      <c r="D2307" s="60">
        <v>20126380</v>
      </c>
      <c r="E2307" s="60">
        <f t="shared" si="36"/>
        <v>-20126380</v>
      </c>
    </row>
    <row r="2308" spans="1:5" x14ac:dyDescent="0.25">
      <c r="A2308" s="60">
        <v>292</v>
      </c>
      <c r="B2308" s="60" t="s">
        <v>117</v>
      </c>
      <c r="C2308" s="60">
        <v>141</v>
      </c>
      <c r="D2308" s="60">
        <v>52700</v>
      </c>
      <c r="E2308" s="60">
        <f t="shared" si="36"/>
        <v>-52700</v>
      </c>
    </row>
    <row r="2309" spans="1:5" x14ac:dyDescent="0.25">
      <c r="A2309" s="60">
        <v>292</v>
      </c>
      <c r="B2309" s="60" t="s">
        <v>117</v>
      </c>
      <c r="C2309" s="60">
        <v>200</v>
      </c>
      <c r="D2309" s="60">
        <v>101016</v>
      </c>
      <c r="E2309" s="60">
        <f t="shared" si="36"/>
        <v>-101016</v>
      </c>
    </row>
    <row r="2310" spans="1:5" x14ac:dyDescent="0.25">
      <c r="A2310" s="60">
        <v>292</v>
      </c>
      <c r="B2310" s="60" t="s">
        <v>117</v>
      </c>
      <c r="C2310" s="60">
        <v>210</v>
      </c>
      <c r="D2310" s="60">
        <v>118900</v>
      </c>
      <c r="E2310" s="60">
        <f t="shared" si="36"/>
        <v>-118900</v>
      </c>
    </row>
    <row r="2311" spans="1:5" x14ac:dyDescent="0.25">
      <c r="A2311" s="60">
        <v>292</v>
      </c>
      <c r="B2311" s="60" t="s">
        <v>117</v>
      </c>
      <c r="C2311" s="60">
        <v>230</v>
      </c>
      <c r="D2311" s="60">
        <v>0</v>
      </c>
      <c r="E2311" s="60">
        <f t="shared" si="36"/>
        <v>0</v>
      </c>
    </row>
    <row r="2312" spans="1:5" x14ac:dyDescent="0.25">
      <c r="A2312" s="60">
        <v>292</v>
      </c>
      <c r="B2312" s="60" t="s">
        <v>117</v>
      </c>
      <c r="C2312" s="60">
        <v>298</v>
      </c>
      <c r="D2312" s="60">
        <v>0</v>
      </c>
      <c r="E2312" s="60">
        <f t="shared" si="36"/>
        <v>0</v>
      </c>
    </row>
    <row r="2313" spans="1:5" x14ac:dyDescent="0.25">
      <c r="A2313" s="60">
        <v>292</v>
      </c>
      <c r="B2313" s="60" t="s">
        <v>118</v>
      </c>
      <c r="C2313" s="60">
        <v>1</v>
      </c>
      <c r="D2313" s="60">
        <v>0</v>
      </c>
      <c r="E2313" s="60">
        <f t="shared" si="36"/>
        <v>0</v>
      </c>
    </row>
    <row r="2314" spans="1:5" x14ac:dyDescent="0.25">
      <c r="A2314" s="60">
        <v>292</v>
      </c>
      <c r="B2314" s="60" t="s">
        <v>118</v>
      </c>
      <c r="C2314" s="60">
        <v>10</v>
      </c>
      <c r="D2314" s="60">
        <v>1821220</v>
      </c>
      <c r="E2314" s="60">
        <f t="shared" si="36"/>
        <v>1821220</v>
      </c>
    </row>
    <row r="2315" spans="1:5" x14ac:dyDescent="0.25">
      <c r="A2315" s="60">
        <v>292</v>
      </c>
      <c r="B2315" s="60" t="s">
        <v>118</v>
      </c>
      <c r="C2315" s="60">
        <v>20</v>
      </c>
      <c r="D2315" s="60">
        <v>13024</v>
      </c>
      <c r="E2315" s="60">
        <f t="shared" si="36"/>
        <v>13024</v>
      </c>
    </row>
    <row r="2316" spans="1:5" x14ac:dyDescent="0.25">
      <c r="A2316" s="60">
        <v>292</v>
      </c>
      <c r="B2316" s="60" t="s">
        <v>118</v>
      </c>
      <c r="C2316" s="60">
        <v>70</v>
      </c>
      <c r="D2316" s="60">
        <v>0</v>
      </c>
      <c r="E2316" s="60">
        <f t="shared" si="36"/>
        <v>0</v>
      </c>
    </row>
    <row r="2317" spans="1:5" x14ac:dyDescent="0.25">
      <c r="A2317" s="60">
        <v>292</v>
      </c>
      <c r="B2317" s="60" t="s">
        <v>118</v>
      </c>
      <c r="C2317" s="60">
        <v>110</v>
      </c>
      <c r="D2317" s="60">
        <v>0</v>
      </c>
      <c r="E2317" s="60">
        <f t="shared" si="36"/>
        <v>0</v>
      </c>
    </row>
    <row r="2318" spans="1:5" x14ac:dyDescent="0.25">
      <c r="A2318" s="60">
        <v>292</v>
      </c>
      <c r="B2318" s="60" t="s">
        <v>118</v>
      </c>
      <c r="C2318" s="60">
        <v>120</v>
      </c>
      <c r="D2318" s="60">
        <v>12440</v>
      </c>
      <c r="E2318" s="60">
        <f t="shared" si="36"/>
        <v>-12440</v>
      </c>
    </row>
    <row r="2319" spans="1:5" x14ac:dyDescent="0.25">
      <c r="A2319" s="60">
        <v>292</v>
      </c>
      <c r="B2319" s="60" t="s">
        <v>118</v>
      </c>
      <c r="C2319" s="60">
        <v>130</v>
      </c>
      <c r="D2319" s="60">
        <v>0</v>
      </c>
      <c r="E2319" s="60">
        <f t="shared" si="36"/>
        <v>0</v>
      </c>
    </row>
    <row r="2320" spans="1:5" x14ac:dyDescent="0.25">
      <c r="A2320" s="60">
        <v>292</v>
      </c>
      <c r="B2320" s="60" t="s">
        <v>118</v>
      </c>
      <c r="C2320" s="60">
        <v>140</v>
      </c>
      <c r="D2320" s="60">
        <v>246320</v>
      </c>
      <c r="E2320" s="60">
        <f t="shared" si="36"/>
        <v>-246320</v>
      </c>
    </row>
    <row r="2321" spans="1:5" x14ac:dyDescent="0.25">
      <c r="A2321" s="60">
        <v>292</v>
      </c>
      <c r="B2321" s="60" t="s">
        <v>118</v>
      </c>
      <c r="C2321" s="60">
        <v>141</v>
      </c>
      <c r="D2321" s="60">
        <v>1560580</v>
      </c>
      <c r="E2321" s="60">
        <f t="shared" si="36"/>
        <v>-1560580</v>
      </c>
    </row>
    <row r="2322" spans="1:5" x14ac:dyDescent="0.25">
      <c r="A2322" s="60">
        <v>292</v>
      </c>
      <c r="B2322" s="60" t="s">
        <v>118</v>
      </c>
      <c r="C2322" s="60">
        <v>200</v>
      </c>
      <c r="D2322" s="60">
        <v>9106</v>
      </c>
      <c r="E2322" s="60">
        <f t="shared" si="36"/>
        <v>-9106</v>
      </c>
    </row>
    <row r="2323" spans="1:5" x14ac:dyDescent="0.25">
      <c r="A2323" s="60">
        <v>292</v>
      </c>
      <c r="B2323" s="60" t="s">
        <v>118</v>
      </c>
      <c r="C2323" s="60">
        <v>210</v>
      </c>
      <c r="D2323" s="60">
        <v>0</v>
      </c>
      <c r="E2323" s="60">
        <f t="shared" si="36"/>
        <v>0</v>
      </c>
    </row>
    <row r="2324" spans="1:5" x14ac:dyDescent="0.25">
      <c r="A2324" s="60">
        <v>292</v>
      </c>
      <c r="B2324" s="60" t="s">
        <v>118</v>
      </c>
      <c r="C2324" s="60">
        <v>230</v>
      </c>
      <c r="D2324" s="60">
        <v>14904</v>
      </c>
      <c r="E2324" s="60">
        <f t="shared" si="36"/>
        <v>-14904</v>
      </c>
    </row>
    <row r="2325" spans="1:5" x14ac:dyDescent="0.25">
      <c r="A2325" s="60">
        <v>292</v>
      </c>
      <c r="B2325" s="60" t="s">
        <v>118</v>
      </c>
      <c r="C2325" s="60">
        <v>298</v>
      </c>
      <c r="D2325" s="60">
        <v>0</v>
      </c>
      <c r="E2325" s="60">
        <f t="shared" si="36"/>
        <v>0</v>
      </c>
    </row>
    <row r="2326" spans="1:5" x14ac:dyDescent="0.25">
      <c r="A2326" s="60">
        <v>292</v>
      </c>
      <c r="B2326" s="60" t="s">
        <v>119</v>
      </c>
      <c r="C2326" s="60">
        <v>1</v>
      </c>
      <c r="D2326" s="60">
        <v>14659388</v>
      </c>
      <c r="E2326" s="60">
        <f t="shared" si="36"/>
        <v>14659388</v>
      </c>
    </row>
    <row r="2327" spans="1:5" x14ac:dyDescent="0.25">
      <c r="A2327" s="60">
        <v>292</v>
      </c>
      <c r="B2327" s="60" t="s">
        <v>119</v>
      </c>
      <c r="C2327" s="60">
        <v>10</v>
      </c>
      <c r="D2327" s="60">
        <v>43624920</v>
      </c>
      <c r="E2327" s="60">
        <f t="shared" si="36"/>
        <v>43624920</v>
      </c>
    </row>
    <row r="2328" spans="1:5" x14ac:dyDescent="0.25">
      <c r="A2328" s="60">
        <v>292</v>
      </c>
      <c r="B2328" s="60" t="s">
        <v>119</v>
      </c>
      <c r="C2328" s="60">
        <v>20</v>
      </c>
      <c r="D2328" s="60">
        <v>114232</v>
      </c>
      <c r="E2328" s="60">
        <f t="shared" si="36"/>
        <v>114232</v>
      </c>
    </row>
    <row r="2329" spans="1:5" x14ac:dyDescent="0.25">
      <c r="A2329" s="60">
        <v>292</v>
      </c>
      <c r="B2329" s="60" t="s">
        <v>119</v>
      </c>
      <c r="C2329" s="60">
        <v>50</v>
      </c>
      <c r="D2329" s="60">
        <v>0</v>
      </c>
      <c r="E2329" s="60">
        <f t="shared" si="36"/>
        <v>0</v>
      </c>
    </row>
    <row r="2330" spans="1:5" x14ac:dyDescent="0.25">
      <c r="A2330" s="60">
        <v>292</v>
      </c>
      <c r="B2330" s="60" t="s">
        <v>119</v>
      </c>
      <c r="C2330" s="60">
        <v>70</v>
      </c>
      <c r="D2330" s="60">
        <v>0</v>
      </c>
      <c r="E2330" s="60">
        <f t="shared" si="36"/>
        <v>0</v>
      </c>
    </row>
    <row r="2331" spans="1:5" x14ac:dyDescent="0.25">
      <c r="A2331" s="60">
        <v>292</v>
      </c>
      <c r="B2331" s="60" t="s">
        <v>119</v>
      </c>
      <c r="C2331" s="60">
        <v>110</v>
      </c>
      <c r="D2331" s="60">
        <v>25506700</v>
      </c>
      <c r="E2331" s="60">
        <f t="shared" si="36"/>
        <v>-25506700</v>
      </c>
    </row>
    <row r="2332" spans="1:5" x14ac:dyDescent="0.25">
      <c r="A2332" s="60">
        <v>292</v>
      </c>
      <c r="B2332" s="60" t="s">
        <v>119</v>
      </c>
      <c r="C2332" s="60">
        <v>120</v>
      </c>
      <c r="D2332" s="60">
        <v>0</v>
      </c>
      <c r="E2332" s="60">
        <f t="shared" si="36"/>
        <v>0</v>
      </c>
    </row>
    <row r="2333" spans="1:5" x14ac:dyDescent="0.25">
      <c r="A2333" s="60">
        <v>292</v>
      </c>
      <c r="B2333" s="60" t="s">
        <v>119</v>
      </c>
      <c r="C2333" s="60">
        <v>130</v>
      </c>
      <c r="D2333" s="60">
        <v>252260</v>
      </c>
      <c r="E2333" s="60">
        <f t="shared" si="36"/>
        <v>-252260</v>
      </c>
    </row>
    <row r="2334" spans="1:5" x14ac:dyDescent="0.25">
      <c r="A2334" s="60">
        <v>292</v>
      </c>
      <c r="B2334" s="60" t="s">
        <v>119</v>
      </c>
      <c r="C2334" s="60">
        <v>140</v>
      </c>
      <c r="D2334" s="60">
        <v>78500</v>
      </c>
      <c r="E2334" s="60">
        <f t="shared" si="36"/>
        <v>-78500</v>
      </c>
    </row>
    <row r="2335" spans="1:5" x14ac:dyDescent="0.25">
      <c r="A2335" s="60">
        <v>292</v>
      </c>
      <c r="B2335" s="60" t="s">
        <v>119</v>
      </c>
      <c r="C2335" s="60">
        <v>141</v>
      </c>
      <c r="D2335" s="60">
        <v>1175520</v>
      </c>
      <c r="E2335" s="60">
        <f t="shared" si="36"/>
        <v>-1175520</v>
      </c>
    </row>
    <row r="2336" spans="1:5" x14ac:dyDescent="0.25">
      <c r="A2336" s="60">
        <v>292</v>
      </c>
      <c r="B2336" s="60" t="s">
        <v>119</v>
      </c>
      <c r="C2336" s="60">
        <v>200</v>
      </c>
      <c r="D2336" s="60">
        <v>214426</v>
      </c>
      <c r="E2336" s="60">
        <f t="shared" si="36"/>
        <v>-214426</v>
      </c>
    </row>
    <row r="2337" spans="1:5" x14ac:dyDescent="0.25">
      <c r="A2337" s="60">
        <v>292</v>
      </c>
      <c r="B2337" s="60" t="s">
        <v>119</v>
      </c>
      <c r="C2337" s="60">
        <v>210</v>
      </c>
      <c r="D2337" s="60">
        <v>53889</v>
      </c>
      <c r="E2337" s="60">
        <f t="shared" si="36"/>
        <v>-53889</v>
      </c>
    </row>
    <row r="2338" spans="1:5" x14ac:dyDescent="0.25">
      <c r="A2338" s="60">
        <v>292</v>
      </c>
      <c r="B2338" s="60" t="s">
        <v>119</v>
      </c>
      <c r="C2338" s="60">
        <v>220</v>
      </c>
      <c r="D2338" s="60">
        <v>0</v>
      </c>
      <c r="E2338" s="60">
        <f t="shared" si="36"/>
        <v>0</v>
      </c>
    </row>
    <row r="2339" spans="1:5" x14ac:dyDescent="0.25">
      <c r="A2339" s="60">
        <v>292</v>
      </c>
      <c r="B2339" s="60" t="s">
        <v>119</v>
      </c>
      <c r="C2339" s="60">
        <v>230</v>
      </c>
      <c r="D2339" s="60">
        <v>104943</v>
      </c>
      <c r="E2339" s="60">
        <f t="shared" si="36"/>
        <v>-104943</v>
      </c>
    </row>
    <row r="2340" spans="1:5" x14ac:dyDescent="0.25">
      <c r="A2340" s="60">
        <v>292</v>
      </c>
      <c r="B2340" s="60" t="s">
        <v>119</v>
      </c>
      <c r="C2340" s="60">
        <v>270</v>
      </c>
      <c r="D2340" s="60">
        <v>0</v>
      </c>
      <c r="E2340" s="60">
        <f t="shared" si="36"/>
        <v>0</v>
      </c>
    </row>
    <row r="2341" spans="1:5" x14ac:dyDescent="0.25">
      <c r="A2341" s="60">
        <v>292</v>
      </c>
      <c r="B2341" s="60" t="s">
        <v>119</v>
      </c>
      <c r="C2341" s="60">
        <v>298</v>
      </c>
      <c r="D2341" s="60">
        <v>0</v>
      </c>
      <c r="E2341" s="60">
        <f t="shared" si="36"/>
        <v>0</v>
      </c>
    </row>
    <row r="2342" spans="1:5" x14ac:dyDescent="0.25">
      <c r="A2342" s="60">
        <v>292</v>
      </c>
      <c r="B2342" s="60" t="s">
        <v>120</v>
      </c>
      <c r="C2342" s="60">
        <v>1</v>
      </c>
      <c r="D2342" s="60">
        <v>16307803</v>
      </c>
      <c r="E2342" s="60">
        <f t="shared" si="36"/>
        <v>16307803</v>
      </c>
    </row>
    <row r="2343" spans="1:5" x14ac:dyDescent="0.25">
      <c r="A2343" s="60">
        <v>292</v>
      </c>
      <c r="B2343" s="60" t="s">
        <v>120</v>
      </c>
      <c r="C2343" s="60">
        <v>10</v>
      </c>
      <c r="D2343" s="60">
        <v>54634580</v>
      </c>
      <c r="E2343" s="60">
        <f t="shared" si="36"/>
        <v>54634580</v>
      </c>
    </row>
    <row r="2344" spans="1:5" x14ac:dyDescent="0.25">
      <c r="A2344" s="60">
        <v>292</v>
      </c>
      <c r="B2344" s="60" t="s">
        <v>120</v>
      </c>
      <c r="C2344" s="60">
        <v>20</v>
      </c>
      <c r="D2344" s="60">
        <v>0</v>
      </c>
      <c r="E2344" s="60">
        <f t="shared" si="36"/>
        <v>0</v>
      </c>
    </row>
    <row r="2345" spans="1:5" x14ac:dyDescent="0.25">
      <c r="A2345" s="60">
        <v>292</v>
      </c>
      <c r="B2345" s="60" t="s">
        <v>120</v>
      </c>
      <c r="C2345" s="60">
        <v>50</v>
      </c>
      <c r="D2345" s="60">
        <v>4257840</v>
      </c>
      <c r="E2345" s="60">
        <f t="shared" si="36"/>
        <v>4257840</v>
      </c>
    </row>
    <row r="2346" spans="1:5" x14ac:dyDescent="0.25">
      <c r="A2346" s="60">
        <v>292</v>
      </c>
      <c r="B2346" s="60" t="s">
        <v>120</v>
      </c>
      <c r="C2346" s="60">
        <v>70</v>
      </c>
      <c r="D2346" s="60">
        <v>609876</v>
      </c>
      <c r="E2346" s="60">
        <f t="shared" si="36"/>
        <v>609876</v>
      </c>
    </row>
    <row r="2347" spans="1:5" x14ac:dyDescent="0.25">
      <c r="A2347" s="60">
        <v>292</v>
      </c>
      <c r="B2347" s="60" t="s">
        <v>120</v>
      </c>
      <c r="C2347" s="60">
        <v>110</v>
      </c>
      <c r="D2347" s="60">
        <v>19500020</v>
      </c>
      <c r="E2347" s="60">
        <f t="shared" si="36"/>
        <v>-19500020</v>
      </c>
    </row>
    <row r="2348" spans="1:5" x14ac:dyDescent="0.25">
      <c r="A2348" s="60">
        <v>292</v>
      </c>
      <c r="B2348" s="60" t="s">
        <v>120</v>
      </c>
      <c r="C2348" s="60">
        <v>120</v>
      </c>
      <c r="D2348" s="60">
        <v>256560</v>
      </c>
      <c r="E2348" s="60">
        <f t="shared" si="36"/>
        <v>-256560</v>
      </c>
    </row>
    <row r="2349" spans="1:5" x14ac:dyDescent="0.25">
      <c r="A2349" s="60">
        <v>292</v>
      </c>
      <c r="B2349" s="60" t="s">
        <v>120</v>
      </c>
      <c r="C2349" s="60">
        <v>130</v>
      </c>
      <c r="D2349" s="60">
        <v>207300</v>
      </c>
      <c r="E2349" s="60">
        <f t="shared" si="36"/>
        <v>-207300</v>
      </c>
    </row>
    <row r="2350" spans="1:5" x14ac:dyDescent="0.25">
      <c r="A2350" s="60">
        <v>292</v>
      </c>
      <c r="B2350" s="60" t="s">
        <v>120</v>
      </c>
      <c r="C2350" s="60">
        <v>140</v>
      </c>
      <c r="D2350" s="60">
        <v>29246280</v>
      </c>
      <c r="E2350" s="60">
        <f t="shared" si="36"/>
        <v>-29246280</v>
      </c>
    </row>
    <row r="2351" spans="1:5" x14ac:dyDescent="0.25">
      <c r="A2351" s="60">
        <v>292</v>
      </c>
      <c r="B2351" s="60" t="s">
        <v>120</v>
      </c>
      <c r="C2351" s="60">
        <v>141</v>
      </c>
      <c r="D2351" s="60">
        <v>17040040</v>
      </c>
      <c r="E2351" s="60">
        <f t="shared" si="36"/>
        <v>-17040040</v>
      </c>
    </row>
    <row r="2352" spans="1:5" x14ac:dyDescent="0.25">
      <c r="A2352" s="60">
        <v>292</v>
      </c>
      <c r="B2352" s="60" t="s">
        <v>120</v>
      </c>
      <c r="C2352" s="60">
        <v>150</v>
      </c>
      <c r="D2352" s="60">
        <v>0</v>
      </c>
      <c r="E2352" s="60">
        <f t="shared" si="36"/>
        <v>0</v>
      </c>
    </row>
    <row r="2353" spans="1:5" x14ac:dyDescent="0.25">
      <c r="A2353" s="60">
        <v>292</v>
      </c>
      <c r="B2353" s="60" t="s">
        <v>120</v>
      </c>
      <c r="C2353" s="60">
        <v>200</v>
      </c>
      <c r="D2353" s="60">
        <v>545358</v>
      </c>
      <c r="E2353" s="60">
        <f t="shared" si="36"/>
        <v>-545358</v>
      </c>
    </row>
    <row r="2354" spans="1:5" x14ac:dyDescent="0.25">
      <c r="A2354" s="60">
        <v>292</v>
      </c>
      <c r="B2354" s="60" t="s">
        <v>120</v>
      </c>
      <c r="C2354" s="60">
        <v>210</v>
      </c>
      <c r="D2354" s="60">
        <v>5308</v>
      </c>
      <c r="E2354" s="60">
        <f t="shared" si="36"/>
        <v>-5308</v>
      </c>
    </row>
    <row r="2355" spans="1:5" x14ac:dyDescent="0.25">
      <c r="A2355" s="60">
        <v>292</v>
      </c>
      <c r="B2355" s="60" t="s">
        <v>120</v>
      </c>
      <c r="C2355" s="60">
        <v>220</v>
      </c>
      <c r="D2355" s="60">
        <v>0</v>
      </c>
      <c r="E2355" s="60">
        <f t="shared" si="36"/>
        <v>0</v>
      </c>
    </row>
    <row r="2356" spans="1:5" x14ac:dyDescent="0.25">
      <c r="A2356" s="60">
        <v>292</v>
      </c>
      <c r="B2356" s="60" t="s">
        <v>120</v>
      </c>
      <c r="C2356" s="60">
        <v>230</v>
      </c>
      <c r="D2356" s="60">
        <v>19254</v>
      </c>
      <c r="E2356" s="60">
        <f t="shared" si="36"/>
        <v>-19254</v>
      </c>
    </row>
    <row r="2357" spans="1:5" x14ac:dyDescent="0.25">
      <c r="A2357" s="60">
        <v>292</v>
      </c>
      <c r="B2357" s="60" t="s">
        <v>120</v>
      </c>
      <c r="C2357" s="60">
        <v>298</v>
      </c>
      <c r="D2357" s="60">
        <v>0</v>
      </c>
      <c r="E2357" s="60">
        <f t="shared" si="36"/>
        <v>0</v>
      </c>
    </row>
    <row r="2358" spans="1:5" x14ac:dyDescent="0.25">
      <c r="A2358" s="60">
        <v>293</v>
      </c>
      <c r="B2358" s="60" t="s">
        <v>117</v>
      </c>
      <c r="C2358" s="60">
        <v>1</v>
      </c>
      <c r="D2358" s="60">
        <v>5903486</v>
      </c>
      <c r="E2358" s="60">
        <f t="shared" si="36"/>
        <v>5903486</v>
      </c>
    </row>
    <row r="2359" spans="1:5" x14ac:dyDescent="0.25">
      <c r="A2359" s="60">
        <v>293</v>
      </c>
      <c r="B2359" s="60" t="s">
        <v>117</v>
      </c>
      <c r="C2359" s="60">
        <v>10</v>
      </c>
      <c r="D2359" s="60">
        <v>4266880</v>
      </c>
      <c r="E2359" s="60">
        <f t="shared" si="36"/>
        <v>4266880</v>
      </c>
    </row>
    <row r="2360" spans="1:5" x14ac:dyDescent="0.25">
      <c r="A2360" s="60">
        <v>293</v>
      </c>
      <c r="B2360" s="60" t="s">
        <v>117</v>
      </c>
      <c r="C2360" s="60">
        <v>20</v>
      </c>
      <c r="D2360" s="60">
        <v>0</v>
      </c>
      <c r="E2360" s="60">
        <f t="shared" si="36"/>
        <v>0</v>
      </c>
    </row>
    <row r="2361" spans="1:5" x14ac:dyDescent="0.25">
      <c r="A2361" s="60">
        <v>293</v>
      </c>
      <c r="B2361" s="60" t="s">
        <v>117</v>
      </c>
      <c r="C2361" s="60">
        <v>50</v>
      </c>
      <c r="D2361" s="60">
        <v>0</v>
      </c>
      <c r="E2361" s="60">
        <f t="shared" si="36"/>
        <v>0</v>
      </c>
    </row>
    <row r="2362" spans="1:5" x14ac:dyDescent="0.25">
      <c r="A2362" s="60">
        <v>293</v>
      </c>
      <c r="B2362" s="60" t="s">
        <v>117</v>
      </c>
      <c r="C2362" s="60">
        <v>70</v>
      </c>
      <c r="D2362" s="60">
        <v>29260</v>
      </c>
      <c r="E2362" s="60">
        <f t="shared" si="36"/>
        <v>29260</v>
      </c>
    </row>
    <row r="2363" spans="1:5" x14ac:dyDescent="0.25">
      <c r="A2363" s="60">
        <v>293</v>
      </c>
      <c r="B2363" s="60" t="s">
        <v>117</v>
      </c>
      <c r="C2363" s="60">
        <v>110</v>
      </c>
      <c r="D2363" s="60">
        <v>1919720</v>
      </c>
      <c r="E2363" s="60">
        <f t="shared" si="36"/>
        <v>-1919720</v>
      </c>
    </row>
    <row r="2364" spans="1:5" x14ac:dyDescent="0.25">
      <c r="A2364" s="60">
        <v>293</v>
      </c>
      <c r="B2364" s="60" t="s">
        <v>117</v>
      </c>
      <c r="C2364" s="60">
        <v>120</v>
      </c>
      <c r="D2364" s="60">
        <v>55240</v>
      </c>
      <c r="E2364" s="60">
        <f t="shared" si="36"/>
        <v>-55240</v>
      </c>
    </row>
    <row r="2365" spans="1:5" x14ac:dyDescent="0.25">
      <c r="A2365" s="60">
        <v>293</v>
      </c>
      <c r="B2365" s="60" t="s">
        <v>117</v>
      </c>
      <c r="C2365" s="60">
        <v>140</v>
      </c>
      <c r="D2365" s="60">
        <v>108040</v>
      </c>
      <c r="E2365" s="60">
        <f t="shared" si="36"/>
        <v>-108040</v>
      </c>
    </row>
    <row r="2366" spans="1:5" x14ac:dyDescent="0.25">
      <c r="A2366" s="60">
        <v>293</v>
      </c>
      <c r="B2366" s="60" t="s">
        <v>117</v>
      </c>
      <c r="C2366" s="60">
        <v>200</v>
      </c>
      <c r="D2366" s="60">
        <v>19466</v>
      </c>
      <c r="E2366" s="60">
        <f t="shared" si="36"/>
        <v>-19466</v>
      </c>
    </row>
    <row r="2367" spans="1:5" x14ac:dyDescent="0.25">
      <c r="A2367" s="60">
        <v>293</v>
      </c>
      <c r="B2367" s="60" t="s">
        <v>117</v>
      </c>
      <c r="C2367" s="60">
        <v>210</v>
      </c>
      <c r="D2367" s="60">
        <v>29914</v>
      </c>
      <c r="E2367" s="60">
        <f t="shared" si="36"/>
        <v>-29914</v>
      </c>
    </row>
    <row r="2368" spans="1:5" x14ac:dyDescent="0.25">
      <c r="A2368" s="60">
        <v>293</v>
      </c>
      <c r="B2368" s="60" t="s">
        <v>117</v>
      </c>
      <c r="C2368" s="60">
        <v>220</v>
      </c>
      <c r="D2368" s="60">
        <v>0</v>
      </c>
      <c r="E2368" s="60">
        <f t="shared" si="36"/>
        <v>0</v>
      </c>
    </row>
    <row r="2369" spans="1:5" x14ac:dyDescent="0.25">
      <c r="A2369" s="60">
        <v>293</v>
      </c>
      <c r="B2369" s="60" t="s">
        <v>117</v>
      </c>
      <c r="C2369" s="60">
        <v>270</v>
      </c>
      <c r="D2369" s="60">
        <v>0</v>
      </c>
      <c r="E2369" s="60">
        <f t="shared" si="36"/>
        <v>0</v>
      </c>
    </row>
    <row r="2370" spans="1:5" x14ac:dyDescent="0.25">
      <c r="A2370" s="60">
        <v>293</v>
      </c>
      <c r="B2370" s="60" t="s">
        <v>118</v>
      </c>
      <c r="C2370" s="60">
        <v>1</v>
      </c>
      <c r="D2370" s="60">
        <v>3581182</v>
      </c>
      <c r="E2370" s="60">
        <f t="shared" ref="E2370:E2433" si="37">IF(C2370&lt;100,D2370,D2370*-1)</f>
        <v>3581182</v>
      </c>
    </row>
    <row r="2371" spans="1:5" x14ac:dyDescent="0.25">
      <c r="A2371" s="60">
        <v>293</v>
      </c>
      <c r="B2371" s="60" t="s">
        <v>118</v>
      </c>
      <c r="C2371" s="60">
        <v>10</v>
      </c>
      <c r="D2371" s="60">
        <v>3591500</v>
      </c>
      <c r="E2371" s="60">
        <f t="shared" si="37"/>
        <v>3591500</v>
      </c>
    </row>
    <row r="2372" spans="1:5" x14ac:dyDescent="0.25">
      <c r="A2372" s="60">
        <v>293</v>
      </c>
      <c r="B2372" s="60" t="s">
        <v>118</v>
      </c>
      <c r="C2372" s="60">
        <v>20</v>
      </c>
      <c r="D2372" s="60">
        <v>0</v>
      </c>
      <c r="E2372" s="60">
        <f t="shared" si="37"/>
        <v>0</v>
      </c>
    </row>
    <row r="2373" spans="1:5" x14ac:dyDescent="0.25">
      <c r="A2373" s="60">
        <v>293</v>
      </c>
      <c r="B2373" s="60" t="s">
        <v>118</v>
      </c>
      <c r="C2373" s="60">
        <v>110</v>
      </c>
      <c r="D2373" s="60">
        <v>1457101</v>
      </c>
      <c r="E2373" s="60">
        <f t="shared" si="37"/>
        <v>-1457101</v>
      </c>
    </row>
    <row r="2374" spans="1:5" x14ac:dyDescent="0.25">
      <c r="A2374" s="60">
        <v>293</v>
      </c>
      <c r="B2374" s="60" t="s">
        <v>118</v>
      </c>
      <c r="C2374" s="60">
        <v>120</v>
      </c>
      <c r="D2374" s="60">
        <v>10195</v>
      </c>
      <c r="E2374" s="60">
        <f t="shared" si="37"/>
        <v>-10195</v>
      </c>
    </row>
    <row r="2375" spans="1:5" x14ac:dyDescent="0.25">
      <c r="A2375" s="60">
        <v>293</v>
      </c>
      <c r="B2375" s="60" t="s">
        <v>118</v>
      </c>
      <c r="C2375" s="60">
        <v>130</v>
      </c>
      <c r="D2375" s="60">
        <v>197556</v>
      </c>
      <c r="E2375" s="60">
        <f t="shared" si="37"/>
        <v>-197556</v>
      </c>
    </row>
    <row r="2376" spans="1:5" x14ac:dyDescent="0.25">
      <c r="A2376" s="60">
        <v>293</v>
      </c>
      <c r="B2376" s="60" t="s">
        <v>118</v>
      </c>
      <c r="C2376" s="60">
        <v>140</v>
      </c>
      <c r="D2376" s="60">
        <v>52040</v>
      </c>
      <c r="E2376" s="60">
        <f t="shared" si="37"/>
        <v>-52040</v>
      </c>
    </row>
    <row r="2377" spans="1:5" x14ac:dyDescent="0.25">
      <c r="A2377" s="60">
        <v>293</v>
      </c>
      <c r="B2377" s="60" t="s">
        <v>118</v>
      </c>
      <c r="C2377" s="60">
        <v>141</v>
      </c>
      <c r="D2377" s="60">
        <v>1877220</v>
      </c>
      <c r="E2377" s="60">
        <f t="shared" si="37"/>
        <v>-1877220</v>
      </c>
    </row>
    <row r="2378" spans="1:5" x14ac:dyDescent="0.25">
      <c r="A2378" s="60">
        <v>293</v>
      </c>
      <c r="B2378" s="60" t="s">
        <v>118</v>
      </c>
      <c r="C2378" s="60">
        <v>150</v>
      </c>
      <c r="D2378" s="60">
        <v>0</v>
      </c>
      <c r="E2378" s="60">
        <f t="shared" si="37"/>
        <v>0</v>
      </c>
    </row>
    <row r="2379" spans="1:5" x14ac:dyDescent="0.25">
      <c r="A2379" s="60">
        <v>293</v>
      </c>
      <c r="B2379" s="60" t="s">
        <v>118</v>
      </c>
      <c r="C2379" s="60">
        <v>200</v>
      </c>
      <c r="D2379" s="60">
        <v>17958</v>
      </c>
      <c r="E2379" s="60">
        <f t="shared" si="37"/>
        <v>-17958</v>
      </c>
    </row>
    <row r="2380" spans="1:5" x14ac:dyDescent="0.25">
      <c r="A2380" s="60">
        <v>293</v>
      </c>
      <c r="B2380" s="60" t="s">
        <v>118</v>
      </c>
      <c r="C2380" s="60">
        <v>230</v>
      </c>
      <c r="D2380" s="60">
        <v>13005</v>
      </c>
      <c r="E2380" s="60">
        <f t="shared" si="37"/>
        <v>-13005</v>
      </c>
    </row>
    <row r="2381" spans="1:5" x14ac:dyDescent="0.25">
      <c r="A2381" s="60">
        <v>293</v>
      </c>
      <c r="B2381" s="60" t="s">
        <v>118</v>
      </c>
      <c r="C2381" s="60">
        <v>270</v>
      </c>
      <c r="D2381" s="60">
        <v>0</v>
      </c>
      <c r="E2381" s="60">
        <f t="shared" si="37"/>
        <v>0</v>
      </c>
    </row>
    <row r="2382" spans="1:5" x14ac:dyDescent="0.25">
      <c r="A2382" s="60">
        <v>293</v>
      </c>
      <c r="B2382" s="60" t="s">
        <v>119</v>
      </c>
      <c r="C2382" s="60">
        <v>1</v>
      </c>
      <c r="D2382" s="60">
        <v>26585566</v>
      </c>
      <c r="E2382" s="60">
        <f t="shared" si="37"/>
        <v>26585566</v>
      </c>
    </row>
    <row r="2383" spans="1:5" x14ac:dyDescent="0.25">
      <c r="A2383" s="60">
        <v>293</v>
      </c>
      <c r="B2383" s="60" t="s">
        <v>119</v>
      </c>
      <c r="C2383" s="60">
        <v>10</v>
      </c>
      <c r="D2383" s="60">
        <v>30183540</v>
      </c>
      <c r="E2383" s="60">
        <f t="shared" si="37"/>
        <v>30183540</v>
      </c>
    </row>
    <row r="2384" spans="1:5" x14ac:dyDescent="0.25">
      <c r="A2384" s="60">
        <v>293</v>
      </c>
      <c r="B2384" s="60" t="s">
        <v>119</v>
      </c>
      <c r="C2384" s="60">
        <v>50</v>
      </c>
      <c r="D2384" s="60">
        <v>0</v>
      </c>
      <c r="E2384" s="60">
        <f t="shared" si="37"/>
        <v>0</v>
      </c>
    </row>
    <row r="2385" spans="1:5" x14ac:dyDescent="0.25">
      <c r="A2385" s="60">
        <v>293</v>
      </c>
      <c r="B2385" s="60" t="s">
        <v>119</v>
      </c>
      <c r="C2385" s="60">
        <v>110</v>
      </c>
      <c r="D2385" s="60">
        <v>33609000</v>
      </c>
      <c r="E2385" s="60">
        <f t="shared" si="37"/>
        <v>-33609000</v>
      </c>
    </row>
    <row r="2386" spans="1:5" x14ac:dyDescent="0.25">
      <c r="A2386" s="60">
        <v>293</v>
      </c>
      <c r="B2386" s="60" t="s">
        <v>119</v>
      </c>
      <c r="C2386" s="60">
        <v>120</v>
      </c>
      <c r="D2386" s="60">
        <v>0</v>
      </c>
      <c r="E2386" s="60">
        <f t="shared" si="37"/>
        <v>0</v>
      </c>
    </row>
    <row r="2387" spans="1:5" x14ac:dyDescent="0.25">
      <c r="A2387" s="60">
        <v>293</v>
      </c>
      <c r="B2387" s="60" t="s">
        <v>119</v>
      </c>
      <c r="C2387" s="60">
        <v>140</v>
      </c>
      <c r="D2387" s="60">
        <v>3487080</v>
      </c>
      <c r="E2387" s="60">
        <f t="shared" si="37"/>
        <v>-3487080</v>
      </c>
    </row>
    <row r="2388" spans="1:5" x14ac:dyDescent="0.25">
      <c r="A2388" s="60">
        <v>293</v>
      </c>
      <c r="B2388" s="60" t="s">
        <v>119</v>
      </c>
      <c r="C2388" s="60">
        <v>141</v>
      </c>
      <c r="D2388" s="60">
        <v>169160</v>
      </c>
      <c r="E2388" s="60">
        <f t="shared" si="37"/>
        <v>-169160</v>
      </c>
    </row>
    <row r="2389" spans="1:5" x14ac:dyDescent="0.25">
      <c r="A2389" s="60">
        <v>293</v>
      </c>
      <c r="B2389" s="60" t="s">
        <v>119</v>
      </c>
      <c r="C2389" s="60">
        <v>200</v>
      </c>
      <c r="D2389" s="60">
        <v>144909</v>
      </c>
      <c r="E2389" s="60">
        <f t="shared" si="37"/>
        <v>-144909</v>
      </c>
    </row>
    <row r="2390" spans="1:5" x14ac:dyDescent="0.25">
      <c r="A2390" s="60">
        <v>293</v>
      </c>
      <c r="B2390" s="60" t="s">
        <v>119</v>
      </c>
      <c r="C2390" s="60">
        <v>210</v>
      </c>
      <c r="D2390" s="60">
        <v>77632</v>
      </c>
      <c r="E2390" s="60">
        <f t="shared" si="37"/>
        <v>-77632</v>
      </c>
    </row>
    <row r="2391" spans="1:5" x14ac:dyDescent="0.25">
      <c r="A2391" s="60">
        <v>293</v>
      </c>
      <c r="B2391" s="60" t="s">
        <v>119</v>
      </c>
      <c r="C2391" s="60">
        <v>220</v>
      </c>
      <c r="D2391" s="60">
        <v>0</v>
      </c>
      <c r="E2391" s="60">
        <f t="shared" si="37"/>
        <v>0</v>
      </c>
    </row>
    <row r="2392" spans="1:5" x14ac:dyDescent="0.25">
      <c r="A2392" s="60">
        <v>293</v>
      </c>
      <c r="B2392" s="60" t="s">
        <v>119</v>
      </c>
      <c r="C2392" s="60">
        <v>230</v>
      </c>
      <c r="D2392" s="60">
        <v>82136</v>
      </c>
      <c r="E2392" s="60">
        <f t="shared" si="37"/>
        <v>-82136</v>
      </c>
    </row>
    <row r="2393" spans="1:5" x14ac:dyDescent="0.25">
      <c r="A2393" s="60">
        <v>293</v>
      </c>
      <c r="B2393" s="60" t="s">
        <v>119</v>
      </c>
      <c r="C2393" s="60">
        <v>270</v>
      </c>
      <c r="D2393" s="60">
        <v>0</v>
      </c>
      <c r="E2393" s="60">
        <f t="shared" si="37"/>
        <v>0</v>
      </c>
    </row>
    <row r="2394" spans="1:5" x14ac:dyDescent="0.25">
      <c r="A2394" s="60">
        <v>293</v>
      </c>
      <c r="B2394" s="60" t="s">
        <v>120</v>
      </c>
      <c r="C2394" s="60">
        <v>1</v>
      </c>
      <c r="D2394" s="60">
        <v>18009884</v>
      </c>
      <c r="E2394" s="60">
        <f t="shared" si="37"/>
        <v>18009884</v>
      </c>
    </row>
    <row r="2395" spans="1:5" x14ac:dyDescent="0.25">
      <c r="A2395" s="60">
        <v>293</v>
      </c>
      <c r="B2395" s="60" t="s">
        <v>120</v>
      </c>
      <c r="C2395" s="60">
        <v>10</v>
      </c>
      <c r="D2395" s="60">
        <v>42258880</v>
      </c>
      <c r="E2395" s="60">
        <f t="shared" si="37"/>
        <v>42258880</v>
      </c>
    </row>
    <row r="2396" spans="1:5" x14ac:dyDescent="0.25">
      <c r="A2396" s="60">
        <v>293</v>
      </c>
      <c r="B2396" s="60" t="s">
        <v>120</v>
      </c>
      <c r="C2396" s="60">
        <v>15</v>
      </c>
      <c r="D2396" s="60">
        <v>0</v>
      </c>
      <c r="E2396" s="60">
        <f t="shared" si="37"/>
        <v>0</v>
      </c>
    </row>
    <row r="2397" spans="1:5" x14ac:dyDescent="0.25">
      <c r="A2397" s="60">
        <v>293</v>
      </c>
      <c r="B2397" s="60" t="s">
        <v>120</v>
      </c>
      <c r="C2397" s="60">
        <v>50</v>
      </c>
      <c r="D2397" s="60">
        <v>0</v>
      </c>
      <c r="E2397" s="60">
        <f t="shared" si="37"/>
        <v>0</v>
      </c>
    </row>
    <row r="2398" spans="1:5" x14ac:dyDescent="0.25">
      <c r="A2398" s="60">
        <v>293</v>
      </c>
      <c r="B2398" s="60" t="s">
        <v>120</v>
      </c>
      <c r="C2398" s="60">
        <v>110</v>
      </c>
      <c r="D2398" s="60">
        <v>31307915</v>
      </c>
      <c r="E2398" s="60">
        <f t="shared" si="37"/>
        <v>-31307915</v>
      </c>
    </row>
    <row r="2399" spans="1:5" x14ac:dyDescent="0.25">
      <c r="A2399" s="60">
        <v>293</v>
      </c>
      <c r="B2399" s="60" t="s">
        <v>120</v>
      </c>
      <c r="C2399" s="60">
        <v>120</v>
      </c>
      <c r="D2399" s="60">
        <v>529760</v>
      </c>
      <c r="E2399" s="60">
        <f t="shared" si="37"/>
        <v>-529760</v>
      </c>
    </row>
    <row r="2400" spans="1:5" x14ac:dyDescent="0.25">
      <c r="A2400" s="60">
        <v>293</v>
      </c>
      <c r="B2400" s="60" t="s">
        <v>120</v>
      </c>
      <c r="C2400" s="60">
        <v>130</v>
      </c>
      <c r="D2400" s="60">
        <v>923541</v>
      </c>
      <c r="E2400" s="60">
        <f t="shared" si="37"/>
        <v>-923541</v>
      </c>
    </row>
    <row r="2401" spans="1:5" x14ac:dyDescent="0.25">
      <c r="A2401" s="60">
        <v>293</v>
      </c>
      <c r="B2401" s="60" t="s">
        <v>120</v>
      </c>
      <c r="C2401" s="60">
        <v>140</v>
      </c>
      <c r="D2401" s="60">
        <v>1808900</v>
      </c>
      <c r="E2401" s="60">
        <f t="shared" si="37"/>
        <v>-1808900</v>
      </c>
    </row>
    <row r="2402" spans="1:5" x14ac:dyDescent="0.25">
      <c r="A2402" s="60">
        <v>293</v>
      </c>
      <c r="B2402" s="60" t="s">
        <v>120</v>
      </c>
      <c r="C2402" s="60">
        <v>141</v>
      </c>
      <c r="D2402" s="60">
        <v>518900</v>
      </c>
      <c r="E2402" s="60">
        <f t="shared" si="37"/>
        <v>-518900</v>
      </c>
    </row>
    <row r="2403" spans="1:5" x14ac:dyDescent="0.25">
      <c r="A2403" s="60">
        <v>293</v>
      </c>
      <c r="B2403" s="60" t="s">
        <v>120</v>
      </c>
      <c r="C2403" s="60">
        <v>150</v>
      </c>
      <c r="D2403" s="60">
        <v>0</v>
      </c>
      <c r="E2403" s="60">
        <f t="shared" si="37"/>
        <v>0</v>
      </c>
    </row>
    <row r="2404" spans="1:5" x14ac:dyDescent="0.25">
      <c r="A2404" s="60">
        <v>293</v>
      </c>
      <c r="B2404" s="60" t="s">
        <v>120</v>
      </c>
      <c r="C2404" s="60">
        <v>200</v>
      </c>
      <c r="D2404" s="60">
        <v>388131</v>
      </c>
      <c r="E2404" s="60">
        <f t="shared" si="37"/>
        <v>-388131</v>
      </c>
    </row>
    <row r="2405" spans="1:5" x14ac:dyDescent="0.25">
      <c r="A2405" s="60">
        <v>293</v>
      </c>
      <c r="B2405" s="60" t="s">
        <v>120</v>
      </c>
      <c r="C2405" s="60">
        <v>210</v>
      </c>
      <c r="D2405" s="60">
        <v>19261</v>
      </c>
      <c r="E2405" s="60">
        <f t="shared" si="37"/>
        <v>-19261</v>
      </c>
    </row>
    <row r="2406" spans="1:5" x14ac:dyDescent="0.25">
      <c r="A2406" s="60">
        <v>293</v>
      </c>
      <c r="B2406" s="60" t="s">
        <v>120</v>
      </c>
      <c r="C2406" s="60">
        <v>220</v>
      </c>
      <c r="D2406" s="60">
        <v>0</v>
      </c>
      <c r="E2406" s="60">
        <f t="shared" si="37"/>
        <v>0</v>
      </c>
    </row>
    <row r="2407" spans="1:5" x14ac:dyDescent="0.25">
      <c r="A2407" s="60">
        <v>293</v>
      </c>
      <c r="B2407" s="60" t="s">
        <v>120</v>
      </c>
      <c r="C2407" s="60">
        <v>230</v>
      </c>
      <c r="D2407" s="60">
        <v>42177</v>
      </c>
      <c r="E2407" s="60">
        <f t="shared" si="37"/>
        <v>-42177</v>
      </c>
    </row>
    <row r="2408" spans="1:5" x14ac:dyDescent="0.25">
      <c r="A2408" s="60">
        <v>293</v>
      </c>
      <c r="B2408" s="60" t="s">
        <v>120</v>
      </c>
      <c r="C2408" s="60">
        <v>270</v>
      </c>
      <c r="D2408" s="60">
        <v>0</v>
      </c>
      <c r="E2408" s="60">
        <f t="shared" si="37"/>
        <v>0</v>
      </c>
    </row>
    <row r="2409" spans="1:5" x14ac:dyDescent="0.25">
      <c r="A2409" s="60">
        <v>294</v>
      </c>
      <c r="B2409" s="60" t="s">
        <v>117</v>
      </c>
      <c r="C2409" s="60">
        <v>1</v>
      </c>
      <c r="D2409" s="60">
        <v>3169342</v>
      </c>
      <c r="E2409" s="60">
        <f t="shared" si="37"/>
        <v>3169342</v>
      </c>
    </row>
    <row r="2410" spans="1:5" x14ac:dyDescent="0.25">
      <c r="A2410" s="60">
        <v>294</v>
      </c>
      <c r="B2410" s="60" t="s">
        <v>117</v>
      </c>
      <c r="C2410" s="60">
        <v>10</v>
      </c>
      <c r="D2410" s="60">
        <v>5610120</v>
      </c>
      <c r="E2410" s="60">
        <f t="shared" si="37"/>
        <v>5610120</v>
      </c>
    </row>
    <row r="2411" spans="1:5" x14ac:dyDescent="0.25">
      <c r="A2411" s="60">
        <v>294</v>
      </c>
      <c r="B2411" s="60" t="s">
        <v>117</v>
      </c>
      <c r="C2411" s="60">
        <v>20</v>
      </c>
      <c r="D2411" s="60">
        <v>0</v>
      </c>
      <c r="E2411" s="60">
        <f t="shared" si="37"/>
        <v>0</v>
      </c>
    </row>
    <row r="2412" spans="1:5" x14ac:dyDescent="0.25">
      <c r="A2412" s="60">
        <v>294</v>
      </c>
      <c r="B2412" s="60" t="s">
        <v>117</v>
      </c>
      <c r="C2412" s="60">
        <v>110</v>
      </c>
      <c r="D2412" s="60">
        <v>0</v>
      </c>
      <c r="E2412" s="60">
        <f t="shared" si="37"/>
        <v>0</v>
      </c>
    </row>
    <row r="2413" spans="1:5" x14ac:dyDescent="0.25">
      <c r="A2413" s="60">
        <v>294</v>
      </c>
      <c r="B2413" s="60" t="s">
        <v>117</v>
      </c>
      <c r="C2413" s="60">
        <v>200</v>
      </c>
      <c r="D2413" s="60">
        <v>26053</v>
      </c>
      <c r="E2413" s="60">
        <f t="shared" si="37"/>
        <v>-26053</v>
      </c>
    </row>
    <row r="2414" spans="1:5" x14ac:dyDescent="0.25">
      <c r="A2414" s="60">
        <v>294</v>
      </c>
      <c r="B2414" s="60" t="s">
        <v>117</v>
      </c>
      <c r="C2414" s="60">
        <v>210</v>
      </c>
      <c r="D2414" s="60">
        <v>15120</v>
      </c>
      <c r="E2414" s="60">
        <f t="shared" si="37"/>
        <v>-15120</v>
      </c>
    </row>
    <row r="2415" spans="1:5" x14ac:dyDescent="0.25">
      <c r="A2415" s="60">
        <v>294</v>
      </c>
      <c r="B2415" s="60" t="s">
        <v>118</v>
      </c>
      <c r="C2415" s="60">
        <v>1</v>
      </c>
      <c r="D2415" s="60">
        <v>4215920</v>
      </c>
      <c r="E2415" s="60">
        <f t="shared" si="37"/>
        <v>4215920</v>
      </c>
    </row>
    <row r="2416" spans="1:5" x14ac:dyDescent="0.25">
      <c r="A2416" s="60">
        <v>294</v>
      </c>
      <c r="B2416" s="60" t="s">
        <v>118</v>
      </c>
      <c r="C2416" s="60">
        <v>10</v>
      </c>
      <c r="D2416" s="60">
        <v>416040</v>
      </c>
      <c r="E2416" s="60">
        <f t="shared" si="37"/>
        <v>416040</v>
      </c>
    </row>
    <row r="2417" spans="1:5" x14ac:dyDescent="0.25">
      <c r="A2417" s="60">
        <v>294</v>
      </c>
      <c r="B2417" s="60" t="s">
        <v>118</v>
      </c>
      <c r="C2417" s="60">
        <v>20</v>
      </c>
      <c r="D2417" s="60">
        <v>96923</v>
      </c>
      <c r="E2417" s="60">
        <f t="shared" si="37"/>
        <v>96923</v>
      </c>
    </row>
    <row r="2418" spans="1:5" x14ac:dyDescent="0.25">
      <c r="A2418" s="60">
        <v>294</v>
      </c>
      <c r="B2418" s="60" t="s">
        <v>118</v>
      </c>
      <c r="C2418" s="60">
        <v>50</v>
      </c>
      <c r="D2418" s="60">
        <v>51980</v>
      </c>
      <c r="E2418" s="60">
        <f t="shared" si="37"/>
        <v>51980</v>
      </c>
    </row>
    <row r="2419" spans="1:5" x14ac:dyDescent="0.25">
      <c r="A2419" s="60">
        <v>294</v>
      </c>
      <c r="B2419" s="60" t="s">
        <v>118</v>
      </c>
      <c r="C2419" s="60">
        <v>110</v>
      </c>
      <c r="D2419" s="60">
        <v>33663</v>
      </c>
      <c r="E2419" s="60">
        <f t="shared" si="37"/>
        <v>-33663</v>
      </c>
    </row>
    <row r="2420" spans="1:5" x14ac:dyDescent="0.25">
      <c r="A2420" s="60">
        <v>294</v>
      </c>
      <c r="B2420" s="60" t="s">
        <v>118</v>
      </c>
      <c r="C2420" s="60">
        <v>120</v>
      </c>
      <c r="D2420" s="60">
        <v>0</v>
      </c>
      <c r="E2420" s="60">
        <f t="shared" si="37"/>
        <v>0</v>
      </c>
    </row>
    <row r="2421" spans="1:5" x14ac:dyDescent="0.25">
      <c r="A2421" s="60">
        <v>294</v>
      </c>
      <c r="B2421" s="60" t="s">
        <v>118</v>
      </c>
      <c r="C2421" s="60">
        <v>130</v>
      </c>
      <c r="D2421" s="60">
        <v>17592</v>
      </c>
      <c r="E2421" s="60">
        <f t="shared" si="37"/>
        <v>-17592</v>
      </c>
    </row>
    <row r="2422" spans="1:5" x14ac:dyDescent="0.25">
      <c r="A2422" s="60">
        <v>294</v>
      </c>
      <c r="B2422" s="60" t="s">
        <v>118</v>
      </c>
      <c r="C2422" s="60">
        <v>140</v>
      </c>
      <c r="D2422" s="60">
        <v>0</v>
      </c>
      <c r="E2422" s="60">
        <f t="shared" si="37"/>
        <v>0</v>
      </c>
    </row>
    <row r="2423" spans="1:5" x14ac:dyDescent="0.25">
      <c r="A2423" s="60">
        <v>294</v>
      </c>
      <c r="B2423" s="60" t="s">
        <v>118</v>
      </c>
      <c r="C2423" s="60">
        <v>141</v>
      </c>
      <c r="D2423" s="60">
        <v>4678900</v>
      </c>
      <c r="E2423" s="60">
        <f t="shared" si="37"/>
        <v>-4678900</v>
      </c>
    </row>
    <row r="2424" spans="1:5" x14ac:dyDescent="0.25">
      <c r="A2424" s="60">
        <v>294</v>
      </c>
      <c r="B2424" s="60" t="s">
        <v>118</v>
      </c>
      <c r="C2424" s="60">
        <v>150</v>
      </c>
      <c r="D2424" s="60">
        <v>0</v>
      </c>
      <c r="E2424" s="60">
        <f t="shared" si="37"/>
        <v>0</v>
      </c>
    </row>
    <row r="2425" spans="1:5" x14ac:dyDescent="0.25">
      <c r="A2425" s="60">
        <v>294</v>
      </c>
      <c r="B2425" s="60" t="s">
        <v>118</v>
      </c>
      <c r="C2425" s="60">
        <v>200</v>
      </c>
      <c r="D2425" s="60">
        <v>2080</v>
      </c>
      <c r="E2425" s="60">
        <f t="shared" si="37"/>
        <v>-2080</v>
      </c>
    </row>
    <row r="2426" spans="1:5" x14ac:dyDescent="0.25">
      <c r="A2426" s="60">
        <v>294</v>
      </c>
      <c r="B2426" s="60" t="s">
        <v>118</v>
      </c>
      <c r="C2426" s="60">
        <v>230</v>
      </c>
      <c r="D2426" s="60">
        <v>857</v>
      </c>
      <c r="E2426" s="60">
        <f t="shared" si="37"/>
        <v>-857</v>
      </c>
    </row>
    <row r="2427" spans="1:5" x14ac:dyDescent="0.25">
      <c r="A2427" s="60">
        <v>294</v>
      </c>
      <c r="B2427" s="60" t="s">
        <v>118</v>
      </c>
      <c r="C2427" s="60">
        <v>270</v>
      </c>
      <c r="D2427" s="60">
        <v>0</v>
      </c>
      <c r="E2427" s="60">
        <f t="shared" si="37"/>
        <v>0</v>
      </c>
    </row>
    <row r="2428" spans="1:5" x14ac:dyDescent="0.25">
      <c r="A2428" s="60">
        <v>294</v>
      </c>
      <c r="B2428" s="60" t="s">
        <v>119</v>
      </c>
      <c r="C2428" s="60">
        <v>1</v>
      </c>
      <c r="D2428" s="60">
        <v>13710797</v>
      </c>
      <c r="E2428" s="60">
        <f t="shared" si="37"/>
        <v>13710797</v>
      </c>
    </row>
    <row r="2429" spans="1:5" x14ac:dyDescent="0.25">
      <c r="A2429" s="60">
        <v>294</v>
      </c>
      <c r="B2429" s="60" t="s">
        <v>119</v>
      </c>
      <c r="C2429" s="60">
        <v>10</v>
      </c>
      <c r="D2429" s="60">
        <v>26076420</v>
      </c>
      <c r="E2429" s="60">
        <f t="shared" si="37"/>
        <v>26076420</v>
      </c>
    </row>
    <row r="2430" spans="1:5" x14ac:dyDescent="0.25">
      <c r="A2430" s="60">
        <v>294</v>
      </c>
      <c r="B2430" s="60" t="s">
        <v>119</v>
      </c>
      <c r="C2430" s="60">
        <v>20</v>
      </c>
      <c r="D2430" s="60">
        <v>0</v>
      </c>
      <c r="E2430" s="60">
        <f t="shared" si="37"/>
        <v>0</v>
      </c>
    </row>
    <row r="2431" spans="1:5" x14ac:dyDescent="0.25">
      <c r="A2431" s="60">
        <v>294</v>
      </c>
      <c r="B2431" s="60" t="s">
        <v>119</v>
      </c>
      <c r="C2431" s="60">
        <v>50</v>
      </c>
      <c r="D2431" s="60">
        <v>1395320</v>
      </c>
      <c r="E2431" s="60">
        <f t="shared" si="37"/>
        <v>1395320</v>
      </c>
    </row>
    <row r="2432" spans="1:5" x14ac:dyDescent="0.25">
      <c r="A2432" s="60">
        <v>294</v>
      </c>
      <c r="B2432" s="60" t="s">
        <v>119</v>
      </c>
      <c r="C2432" s="60">
        <v>110</v>
      </c>
      <c r="D2432" s="60">
        <v>14892760</v>
      </c>
      <c r="E2432" s="60">
        <f t="shared" si="37"/>
        <v>-14892760</v>
      </c>
    </row>
    <row r="2433" spans="1:5" x14ac:dyDescent="0.25">
      <c r="A2433" s="60">
        <v>294</v>
      </c>
      <c r="B2433" s="60" t="s">
        <v>119</v>
      </c>
      <c r="C2433" s="60">
        <v>140</v>
      </c>
      <c r="D2433" s="60">
        <v>777740</v>
      </c>
      <c r="E2433" s="60">
        <f t="shared" si="37"/>
        <v>-777740</v>
      </c>
    </row>
    <row r="2434" spans="1:5" x14ac:dyDescent="0.25">
      <c r="A2434" s="60">
        <v>294</v>
      </c>
      <c r="B2434" s="60" t="s">
        <v>119</v>
      </c>
      <c r="C2434" s="60">
        <v>141</v>
      </c>
      <c r="D2434" s="60">
        <v>6183940</v>
      </c>
      <c r="E2434" s="60">
        <f t="shared" ref="E2434:E2497" si="38">IF(C2434&lt;100,D2434,D2434*-1)</f>
        <v>-6183940</v>
      </c>
    </row>
    <row r="2435" spans="1:5" x14ac:dyDescent="0.25">
      <c r="A2435" s="60">
        <v>294</v>
      </c>
      <c r="B2435" s="60" t="s">
        <v>119</v>
      </c>
      <c r="C2435" s="60">
        <v>200</v>
      </c>
      <c r="D2435" s="60">
        <v>129952</v>
      </c>
      <c r="E2435" s="60">
        <f t="shared" si="38"/>
        <v>-129952</v>
      </c>
    </row>
    <row r="2436" spans="1:5" x14ac:dyDescent="0.25">
      <c r="A2436" s="60">
        <v>294</v>
      </c>
      <c r="B2436" s="60" t="s">
        <v>119</v>
      </c>
      <c r="C2436" s="60">
        <v>210</v>
      </c>
      <c r="D2436" s="60">
        <v>10954</v>
      </c>
      <c r="E2436" s="60">
        <f t="shared" si="38"/>
        <v>-10954</v>
      </c>
    </row>
    <row r="2437" spans="1:5" x14ac:dyDescent="0.25">
      <c r="A2437" s="60">
        <v>294</v>
      </c>
      <c r="B2437" s="60" t="s">
        <v>119</v>
      </c>
      <c r="C2437" s="60">
        <v>220</v>
      </c>
      <c r="D2437" s="60">
        <v>0</v>
      </c>
      <c r="E2437" s="60">
        <f t="shared" si="38"/>
        <v>0</v>
      </c>
    </row>
    <row r="2438" spans="1:5" x14ac:dyDescent="0.25">
      <c r="A2438" s="60">
        <v>294</v>
      </c>
      <c r="B2438" s="60" t="s">
        <v>119</v>
      </c>
      <c r="C2438" s="60">
        <v>230</v>
      </c>
      <c r="D2438" s="60">
        <v>66297</v>
      </c>
      <c r="E2438" s="60">
        <f t="shared" si="38"/>
        <v>-66297</v>
      </c>
    </row>
    <row r="2439" spans="1:5" x14ac:dyDescent="0.25">
      <c r="A2439" s="60">
        <v>294</v>
      </c>
      <c r="B2439" s="60" t="s">
        <v>119</v>
      </c>
      <c r="C2439" s="60">
        <v>270</v>
      </c>
      <c r="D2439" s="60">
        <v>0</v>
      </c>
      <c r="E2439" s="60">
        <f t="shared" si="38"/>
        <v>0</v>
      </c>
    </row>
    <row r="2440" spans="1:5" x14ac:dyDescent="0.25">
      <c r="A2440" s="60">
        <v>294</v>
      </c>
      <c r="B2440" s="60" t="s">
        <v>120</v>
      </c>
      <c r="C2440" s="60">
        <v>1</v>
      </c>
      <c r="D2440" s="60">
        <v>11485432</v>
      </c>
      <c r="E2440" s="60">
        <f t="shared" si="38"/>
        <v>11485432</v>
      </c>
    </row>
    <row r="2441" spans="1:5" x14ac:dyDescent="0.25">
      <c r="A2441" s="60">
        <v>294</v>
      </c>
      <c r="B2441" s="60" t="s">
        <v>120</v>
      </c>
      <c r="C2441" s="60">
        <v>10</v>
      </c>
      <c r="D2441" s="60">
        <v>15429468</v>
      </c>
      <c r="E2441" s="60">
        <f t="shared" si="38"/>
        <v>15429468</v>
      </c>
    </row>
    <row r="2442" spans="1:5" x14ac:dyDescent="0.25">
      <c r="A2442" s="60">
        <v>294</v>
      </c>
      <c r="B2442" s="60" t="s">
        <v>120</v>
      </c>
      <c r="C2442" s="60">
        <v>50</v>
      </c>
      <c r="D2442" s="60">
        <v>0</v>
      </c>
      <c r="E2442" s="60">
        <f t="shared" si="38"/>
        <v>0</v>
      </c>
    </row>
    <row r="2443" spans="1:5" x14ac:dyDescent="0.25">
      <c r="A2443" s="60">
        <v>294</v>
      </c>
      <c r="B2443" s="60" t="s">
        <v>120</v>
      </c>
      <c r="C2443" s="60">
        <v>70</v>
      </c>
      <c r="D2443" s="60">
        <v>545683</v>
      </c>
      <c r="E2443" s="60">
        <f t="shared" si="38"/>
        <v>545683</v>
      </c>
    </row>
    <row r="2444" spans="1:5" x14ac:dyDescent="0.25">
      <c r="A2444" s="60">
        <v>294</v>
      </c>
      <c r="B2444" s="60" t="s">
        <v>120</v>
      </c>
      <c r="C2444" s="60">
        <v>110</v>
      </c>
      <c r="D2444" s="60">
        <v>5208354</v>
      </c>
      <c r="E2444" s="60">
        <f t="shared" si="38"/>
        <v>-5208354</v>
      </c>
    </row>
    <row r="2445" spans="1:5" x14ac:dyDescent="0.25">
      <c r="A2445" s="60">
        <v>294</v>
      </c>
      <c r="B2445" s="60" t="s">
        <v>120</v>
      </c>
      <c r="C2445" s="60">
        <v>120</v>
      </c>
      <c r="D2445" s="60">
        <v>607710</v>
      </c>
      <c r="E2445" s="60">
        <f t="shared" si="38"/>
        <v>-607710</v>
      </c>
    </row>
    <row r="2446" spans="1:5" x14ac:dyDescent="0.25">
      <c r="A2446" s="60">
        <v>294</v>
      </c>
      <c r="B2446" s="60" t="s">
        <v>120</v>
      </c>
      <c r="C2446" s="60">
        <v>130</v>
      </c>
      <c r="D2446" s="60">
        <v>3739150</v>
      </c>
      <c r="E2446" s="60">
        <f t="shared" si="38"/>
        <v>-3739150</v>
      </c>
    </row>
    <row r="2447" spans="1:5" x14ac:dyDescent="0.25">
      <c r="A2447" s="60">
        <v>294</v>
      </c>
      <c r="B2447" s="60" t="s">
        <v>120</v>
      </c>
      <c r="C2447" s="60">
        <v>140</v>
      </c>
      <c r="D2447" s="60">
        <v>3235320</v>
      </c>
      <c r="E2447" s="60">
        <f t="shared" si="38"/>
        <v>-3235320</v>
      </c>
    </row>
    <row r="2448" spans="1:5" x14ac:dyDescent="0.25">
      <c r="A2448" s="60">
        <v>294</v>
      </c>
      <c r="B2448" s="60" t="s">
        <v>120</v>
      </c>
      <c r="C2448" s="60">
        <v>141</v>
      </c>
      <c r="D2448" s="60">
        <v>10190760</v>
      </c>
      <c r="E2448" s="60">
        <f t="shared" si="38"/>
        <v>-10190760</v>
      </c>
    </row>
    <row r="2449" spans="1:5" x14ac:dyDescent="0.25">
      <c r="A2449" s="60">
        <v>294</v>
      </c>
      <c r="B2449" s="60" t="s">
        <v>120</v>
      </c>
      <c r="C2449" s="60">
        <v>200</v>
      </c>
      <c r="D2449" s="60">
        <v>108725</v>
      </c>
      <c r="E2449" s="60">
        <f t="shared" si="38"/>
        <v>-108725</v>
      </c>
    </row>
    <row r="2450" spans="1:5" x14ac:dyDescent="0.25">
      <c r="A2450" s="60">
        <v>294</v>
      </c>
      <c r="B2450" s="60" t="s">
        <v>120</v>
      </c>
      <c r="C2450" s="60">
        <v>210</v>
      </c>
      <c r="D2450" s="60">
        <v>6139</v>
      </c>
      <c r="E2450" s="60">
        <f t="shared" si="38"/>
        <v>-6139</v>
      </c>
    </row>
    <row r="2451" spans="1:5" x14ac:dyDescent="0.25">
      <c r="A2451" s="60">
        <v>294</v>
      </c>
      <c r="B2451" s="60" t="s">
        <v>120</v>
      </c>
      <c r="C2451" s="60">
        <v>220</v>
      </c>
      <c r="D2451" s="60">
        <v>0</v>
      </c>
      <c r="E2451" s="60">
        <f t="shared" si="38"/>
        <v>0</v>
      </c>
    </row>
    <row r="2452" spans="1:5" x14ac:dyDescent="0.25">
      <c r="A2452" s="60">
        <v>294</v>
      </c>
      <c r="B2452" s="60" t="s">
        <v>120</v>
      </c>
      <c r="C2452" s="60">
        <v>230</v>
      </c>
      <c r="D2452" s="60">
        <v>17843</v>
      </c>
      <c r="E2452" s="60">
        <f t="shared" si="38"/>
        <v>-17843</v>
      </c>
    </row>
    <row r="2453" spans="1:5" x14ac:dyDescent="0.25">
      <c r="A2453" s="60">
        <v>294</v>
      </c>
      <c r="B2453" s="60" t="s">
        <v>120</v>
      </c>
      <c r="C2453" s="60">
        <v>270</v>
      </c>
      <c r="D2453" s="60">
        <v>0</v>
      </c>
      <c r="E2453" s="60">
        <f t="shared" si="38"/>
        <v>0</v>
      </c>
    </row>
    <row r="2454" spans="1:5" x14ac:dyDescent="0.25">
      <c r="A2454" s="60">
        <v>295</v>
      </c>
      <c r="B2454" s="60" t="s">
        <v>117</v>
      </c>
      <c r="C2454" s="60">
        <v>1</v>
      </c>
      <c r="D2454" s="60">
        <v>0</v>
      </c>
      <c r="E2454" s="60">
        <f t="shared" si="38"/>
        <v>0</v>
      </c>
    </row>
    <row r="2455" spans="1:5" x14ac:dyDescent="0.25">
      <c r="A2455" s="60">
        <v>295</v>
      </c>
      <c r="B2455" s="60" t="s">
        <v>117</v>
      </c>
      <c r="C2455" s="60">
        <v>10</v>
      </c>
      <c r="D2455" s="60">
        <v>4059720</v>
      </c>
      <c r="E2455" s="60">
        <f t="shared" si="38"/>
        <v>4059720</v>
      </c>
    </row>
    <row r="2456" spans="1:5" x14ac:dyDescent="0.25">
      <c r="A2456" s="60">
        <v>295</v>
      </c>
      <c r="B2456" s="60" t="s">
        <v>117</v>
      </c>
      <c r="C2456" s="60">
        <v>20</v>
      </c>
      <c r="D2456" s="60">
        <v>0</v>
      </c>
      <c r="E2456" s="60">
        <f t="shared" si="38"/>
        <v>0</v>
      </c>
    </row>
    <row r="2457" spans="1:5" x14ac:dyDescent="0.25">
      <c r="A2457" s="60">
        <v>295</v>
      </c>
      <c r="B2457" s="60" t="s">
        <v>117</v>
      </c>
      <c r="C2457" s="60">
        <v>110</v>
      </c>
      <c r="D2457" s="60">
        <v>0</v>
      </c>
      <c r="E2457" s="60">
        <f t="shared" si="38"/>
        <v>0</v>
      </c>
    </row>
    <row r="2458" spans="1:5" x14ac:dyDescent="0.25">
      <c r="A2458" s="60">
        <v>295</v>
      </c>
      <c r="B2458" s="60" t="s">
        <v>117</v>
      </c>
      <c r="C2458" s="60">
        <v>120</v>
      </c>
      <c r="D2458" s="60">
        <v>0</v>
      </c>
      <c r="E2458" s="60">
        <f t="shared" si="38"/>
        <v>0</v>
      </c>
    </row>
    <row r="2459" spans="1:5" x14ac:dyDescent="0.25">
      <c r="A2459" s="60">
        <v>295</v>
      </c>
      <c r="B2459" s="60" t="s">
        <v>117</v>
      </c>
      <c r="C2459" s="60">
        <v>130</v>
      </c>
      <c r="D2459" s="60">
        <v>21558</v>
      </c>
      <c r="E2459" s="60">
        <f t="shared" si="38"/>
        <v>-21558</v>
      </c>
    </row>
    <row r="2460" spans="1:5" x14ac:dyDescent="0.25">
      <c r="A2460" s="60">
        <v>295</v>
      </c>
      <c r="B2460" s="60" t="s">
        <v>117</v>
      </c>
      <c r="C2460" s="60">
        <v>140</v>
      </c>
      <c r="D2460" s="60">
        <v>0</v>
      </c>
      <c r="E2460" s="60">
        <f t="shared" si="38"/>
        <v>0</v>
      </c>
    </row>
    <row r="2461" spans="1:5" x14ac:dyDescent="0.25">
      <c r="A2461" s="60">
        <v>295</v>
      </c>
      <c r="B2461" s="60" t="s">
        <v>117</v>
      </c>
      <c r="C2461" s="60">
        <v>200</v>
      </c>
      <c r="D2461" s="60">
        <v>20129</v>
      </c>
      <c r="E2461" s="60">
        <f t="shared" si="38"/>
        <v>-20129</v>
      </c>
    </row>
    <row r="2462" spans="1:5" x14ac:dyDescent="0.25">
      <c r="A2462" s="60">
        <v>295</v>
      </c>
      <c r="B2462" s="60" t="s">
        <v>117</v>
      </c>
      <c r="C2462" s="60">
        <v>210</v>
      </c>
      <c r="D2462" s="60">
        <v>12241</v>
      </c>
      <c r="E2462" s="60">
        <f t="shared" si="38"/>
        <v>-12241</v>
      </c>
    </row>
    <row r="2463" spans="1:5" x14ac:dyDescent="0.25">
      <c r="A2463" s="60">
        <v>295</v>
      </c>
      <c r="B2463" s="60" t="s">
        <v>117</v>
      </c>
      <c r="C2463" s="60">
        <v>270</v>
      </c>
      <c r="D2463" s="60">
        <v>0</v>
      </c>
      <c r="E2463" s="60">
        <f t="shared" si="38"/>
        <v>0</v>
      </c>
    </row>
    <row r="2464" spans="1:5" x14ac:dyDescent="0.25">
      <c r="A2464" s="60">
        <v>295</v>
      </c>
      <c r="B2464" s="60" t="s">
        <v>118</v>
      </c>
      <c r="C2464" s="60">
        <v>1</v>
      </c>
      <c r="D2464" s="60">
        <v>2789602</v>
      </c>
      <c r="E2464" s="60">
        <f t="shared" si="38"/>
        <v>2789602</v>
      </c>
    </row>
    <row r="2465" spans="1:5" x14ac:dyDescent="0.25">
      <c r="A2465" s="60">
        <v>295</v>
      </c>
      <c r="B2465" s="60" t="s">
        <v>118</v>
      </c>
      <c r="C2465" s="60">
        <v>10</v>
      </c>
      <c r="D2465" s="60">
        <v>1889100</v>
      </c>
      <c r="E2465" s="60">
        <f t="shared" si="38"/>
        <v>1889100</v>
      </c>
    </row>
    <row r="2466" spans="1:5" x14ac:dyDescent="0.25">
      <c r="A2466" s="60">
        <v>295</v>
      </c>
      <c r="B2466" s="60" t="s">
        <v>118</v>
      </c>
      <c r="C2466" s="60">
        <v>20</v>
      </c>
      <c r="D2466" s="60">
        <v>0</v>
      </c>
      <c r="E2466" s="60">
        <f t="shared" si="38"/>
        <v>0</v>
      </c>
    </row>
    <row r="2467" spans="1:5" x14ac:dyDescent="0.25">
      <c r="A2467" s="60">
        <v>295</v>
      </c>
      <c r="B2467" s="60" t="s">
        <v>118</v>
      </c>
      <c r="C2467" s="60">
        <v>110</v>
      </c>
      <c r="D2467" s="60">
        <v>1940658</v>
      </c>
      <c r="E2467" s="60">
        <f t="shared" si="38"/>
        <v>-1940658</v>
      </c>
    </row>
    <row r="2468" spans="1:5" x14ac:dyDescent="0.25">
      <c r="A2468" s="60">
        <v>295</v>
      </c>
      <c r="B2468" s="60" t="s">
        <v>118</v>
      </c>
      <c r="C2468" s="60">
        <v>130</v>
      </c>
      <c r="D2468" s="60">
        <v>181656</v>
      </c>
      <c r="E2468" s="60">
        <f t="shared" si="38"/>
        <v>-181656</v>
      </c>
    </row>
    <row r="2469" spans="1:5" x14ac:dyDescent="0.25">
      <c r="A2469" s="60">
        <v>295</v>
      </c>
      <c r="B2469" s="60" t="s">
        <v>118</v>
      </c>
      <c r="C2469" s="60">
        <v>140</v>
      </c>
      <c r="D2469" s="60">
        <v>0</v>
      </c>
      <c r="E2469" s="60">
        <f t="shared" si="38"/>
        <v>0</v>
      </c>
    </row>
    <row r="2470" spans="1:5" x14ac:dyDescent="0.25">
      <c r="A2470" s="60">
        <v>295</v>
      </c>
      <c r="B2470" s="60" t="s">
        <v>118</v>
      </c>
      <c r="C2470" s="60">
        <v>150</v>
      </c>
      <c r="D2470" s="60">
        <v>0</v>
      </c>
      <c r="E2470" s="60">
        <f t="shared" si="38"/>
        <v>0</v>
      </c>
    </row>
    <row r="2471" spans="1:5" x14ac:dyDescent="0.25">
      <c r="A2471" s="60">
        <v>295</v>
      </c>
      <c r="B2471" s="60" t="s">
        <v>118</v>
      </c>
      <c r="C2471" s="60">
        <v>160</v>
      </c>
      <c r="D2471" s="60">
        <v>0</v>
      </c>
      <c r="E2471" s="60">
        <f t="shared" si="38"/>
        <v>0</v>
      </c>
    </row>
    <row r="2472" spans="1:5" x14ac:dyDescent="0.25">
      <c r="A2472" s="60">
        <v>295</v>
      </c>
      <c r="B2472" s="60" t="s">
        <v>118</v>
      </c>
      <c r="C2472" s="60">
        <v>200</v>
      </c>
      <c r="D2472" s="60">
        <v>9320</v>
      </c>
      <c r="E2472" s="60">
        <f t="shared" si="38"/>
        <v>-9320</v>
      </c>
    </row>
    <row r="2473" spans="1:5" x14ac:dyDescent="0.25">
      <c r="A2473" s="60">
        <v>295</v>
      </c>
      <c r="B2473" s="60" t="s">
        <v>118</v>
      </c>
      <c r="C2473" s="60">
        <v>230</v>
      </c>
      <c r="D2473" s="60">
        <v>39143</v>
      </c>
      <c r="E2473" s="60">
        <f t="shared" si="38"/>
        <v>-39143</v>
      </c>
    </row>
    <row r="2474" spans="1:5" x14ac:dyDescent="0.25">
      <c r="A2474" s="60">
        <v>295</v>
      </c>
      <c r="B2474" s="60" t="s">
        <v>118</v>
      </c>
      <c r="C2474" s="60">
        <v>260</v>
      </c>
      <c r="D2474" s="60">
        <v>0</v>
      </c>
      <c r="E2474" s="60">
        <f t="shared" si="38"/>
        <v>0</v>
      </c>
    </row>
    <row r="2475" spans="1:5" x14ac:dyDescent="0.25">
      <c r="A2475" s="60">
        <v>295</v>
      </c>
      <c r="B2475" s="60" t="s">
        <v>118</v>
      </c>
      <c r="C2475" s="60">
        <v>270</v>
      </c>
      <c r="D2475" s="60">
        <v>0</v>
      </c>
      <c r="E2475" s="60">
        <f t="shared" si="38"/>
        <v>0</v>
      </c>
    </row>
    <row r="2476" spans="1:5" x14ac:dyDescent="0.25">
      <c r="A2476" s="60">
        <v>295</v>
      </c>
      <c r="B2476" s="60" t="s">
        <v>119</v>
      </c>
      <c r="C2476" s="60">
        <v>1</v>
      </c>
      <c r="D2476" s="60">
        <v>16373652</v>
      </c>
      <c r="E2476" s="60">
        <f t="shared" si="38"/>
        <v>16373652</v>
      </c>
    </row>
    <row r="2477" spans="1:5" x14ac:dyDescent="0.25">
      <c r="A2477" s="60">
        <v>295</v>
      </c>
      <c r="B2477" s="60" t="s">
        <v>119</v>
      </c>
      <c r="C2477" s="60">
        <v>10</v>
      </c>
      <c r="D2477" s="60">
        <v>24854020</v>
      </c>
      <c r="E2477" s="60">
        <f t="shared" si="38"/>
        <v>24854020</v>
      </c>
    </row>
    <row r="2478" spans="1:5" x14ac:dyDescent="0.25">
      <c r="A2478" s="60">
        <v>295</v>
      </c>
      <c r="B2478" s="60" t="s">
        <v>119</v>
      </c>
      <c r="C2478" s="60">
        <v>20</v>
      </c>
      <c r="D2478" s="60">
        <v>0</v>
      </c>
      <c r="E2478" s="60">
        <f t="shared" si="38"/>
        <v>0</v>
      </c>
    </row>
    <row r="2479" spans="1:5" x14ac:dyDescent="0.25">
      <c r="A2479" s="60">
        <v>295</v>
      </c>
      <c r="B2479" s="60" t="s">
        <v>119</v>
      </c>
      <c r="C2479" s="60">
        <v>50</v>
      </c>
      <c r="D2479" s="60">
        <v>1987040</v>
      </c>
      <c r="E2479" s="60">
        <f t="shared" si="38"/>
        <v>1987040</v>
      </c>
    </row>
    <row r="2480" spans="1:5" x14ac:dyDescent="0.25">
      <c r="A2480" s="60">
        <v>295</v>
      </c>
      <c r="B2480" s="60" t="s">
        <v>119</v>
      </c>
      <c r="C2480" s="60">
        <v>100</v>
      </c>
      <c r="D2480" s="60">
        <v>0</v>
      </c>
      <c r="E2480" s="60">
        <f t="shared" si="38"/>
        <v>0</v>
      </c>
    </row>
    <row r="2481" spans="1:5" x14ac:dyDescent="0.25">
      <c r="A2481" s="60">
        <v>295</v>
      </c>
      <c r="B2481" s="60" t="s">
        <v>119</v>
      </c>
      <c r="C2481" s="60">
        <v>110</v>
      </c>
      <c r="D2481" s="60">
        <v>18214240</v>
      </c>
      <c r="E2481" s="60">
        <f t="shared" si="38"/>
        <v>-18214240</v>
      </c>
    </row>
    <row r="2482" spans="1:5" x14ac:dyDescent="0.25">
      <c r="A2482" s="60">
        <v>295</v>
      </c>
      <c r="B2482" s="60" t="s">
        <v>119</v>
      </c>
      <c r="C2482" s="60">
        <v>140</v>
      </c>
      <c r="D2482" s="60">
        <v>0</v>
      </c>
      <c r="E2482" s="60">
        <f t="shared" si="38"/>
        <v>0</v>
      </c>
    </row>
    <row r="2483" spans="1:5" x14ac:dyDescent="0.25">
      <c r="A2483" s="60">
        <v>295</v>
      </c>
      <c r="B2483" s="60" t="s">
        <v>119</v>
      </c>
      <c r="C2483" s="60">
        <v>141</v>
      </c>
      <c r="D2483" s="60">
        <v>109100</v>
      </c>
      <c r="E2483" s="60">
        <f t="shared" si="38"/>
        <v>-109100</v>
      </c>
    </row>
    <row r="2484" spans="1:5" x14ac:dyDescent="0.25">
      <c r="A2484" s="60">
        <v>295</v>
      </c>
      <c r="B2484" s="60" t="s">
        <v>119</v>
      </c>
      <c r="C2484" s="60">
        <v>200</v>
      </c>
      <c r="D2484" s="60">
        <v>123727</v>
      </c>
      <c r="E2484" s="60">
        <f t="shared" si="38"/>
        <v>-123727</v>
      </c>
    </row>
    <row r="2485" spans="1:5" x14ac:dyDescent="0.25">
      <c r="A2485" s="60">
        <v>295</v>
      </c>
      <c r="B2485" s="60" t="s">
        <v>119</v>
      </c>
      <c r="C2485" s="60">
        <v>210</v>
      </c>
      <c r="D2485" s="60">
        <v>9480</v>
      </c>
      <c r="E2485" s="60">
        <f t="shared" si="38"/>
        <v>-9480</v>
      </c>
    </row>
    <row r="2486" spans="1:5" x14ac:dyDescent="0.25">
      <c r="A2486" s="60">
        <v>295</v>
      </c>
      <c r="B2486" s="60" t="s">
        <v>119</v>
      </c>
      <c r="C2486" s="60">
        <v>220</v>
      </c>
      <c r="D2486" s="60">
        <v>0</v>
      </c>
      <c r="E2486" s="60">
        <f t="shared" si="38"/>
        <v>0</v>
      </c>
    </row>
    <row r="2487" spans="1:5" x14ac:dyDescent="0.25">
      <c r="A2487" s="60">
        <v>295</v>
      </c>
      <c r="B2487" s="60" t="s">
        <v>119</v>
      </c>
      <c r="C2487" s="60">
        <v>230</v>
      </c>
      <c r="D2487" s="60">
        <v>56882</v>
      </c>
      <c r="E2487" s="60">
        <f t="shared" si="38"/>
        <v>-56882</v>
      </c>
    </row>
    <row r="2488" spans="1:5" x14ac:dyDescent="0.25">
      <c r="A2488" s="60">
        <v>295</v>
      </c>
      <c r="B2488" s="60" t="s">
        <v>119</v>
      </c>
      <c r="C2488" s="60">
        <v>270</v>
      </c>
      <c r="D2488" s="60">
        <v>0</v>
      </c>
      <c r="E2488" s="60">
        <f t="shared" si="38"/>
        <v>0</v>
      </c>
    </row>
    <row r="2489" spans="1:5" x14ac:dyDescent="0.25">
      <c r="A2489" s="60">
        <v>295</v>
      </c>
      <c r="B2489" s="60" t="s">
        <v>120</v>
      </c>
      <c r="C2489" s="60">
        <v>1</v>
      </c>
      <c r="D2489" s="60">
        <v>40161373</v>
      </c>
      <c r="E2489" s="60">
        <f t="shared" si="38"/>
        <v>40161373</v>
      </c>
    </row>
    <row r="2490" spans="1:5" x14ac:dyDescent="0.25">
      <c r="A2490" s="60">
        <v>295</v>
      </c>
      <c r="B2490" s="60" t="s">
        <v>120</v>
      </c>
      <c r="C2490" s="60">
        <v>10</v>
      </c>
      <c r="D2490" s="60">
        <v>43314880</v>
      </c>
      <c r="E2490" s="60">
        <f t="shared" si="38"/>
        <v>43314880</v>
      </c>
    </row>
    <row r="2491" spans="1:5" x14ac:dyDescent="0.25">
      <c r="A2491" s="60">
        <v>295</v>
      </c>
      <c r="B2491" s="60" t="s">
        <v>120</v>
      </c>
      <c r="C2491" s="60">
        <v>110</v>
      </c>
      <c r="D2491" s="60">
        <v>41471713</v>
      </c>
      <c r="E2491" s="60">
        <f t="shared" si="38"/>
        <v>-41471713</v>
      </c>
    </row>
    <row r="2492" spans="1:5" x14ac:dyDescent="0.25">
      <c r="A2492" s="60">
        <v>295</v>
      </c>
      <c r="B2492" s="60" t="s">
        <v>120</v>
      </c>
      <c r="C2492" s="60">
        <v>120</v>
      </c>
      <c r="D2492" s="60">
        <v>37760</v>
      </c>
      <c r="E2492" s="60">
        <f t="shared" si="38"/>
        <v>-37760</v>
      </c>
    </row>
    <row r="2493" spans="1:5" x14ac:dyDescent="0.25">
      <c r="A2493" s="60">
        <v>295</v>
      </c>
      <c r="B2493" s="60" t="s">
        <v>120</v>
      </c>
      <c r="C2493" s="60">
        <v>130</v>
      </c>
      <c r="D2493" s="60">
        <v>2507100</v>
      </c>
      <c r="E2493" s="60">
        <f t="shared" si="38"/>
        <v>-2507100</v>
      </c>
    </row>
    <row r="2494" spans="1:5" x14ac:dyDescent="0.25">
      <c r="A2494" s="60">
        <v>295</v>
      </c>
      <c r="B2494" s="60" t="s">
        <v>120</v>
      </c>
      <c r="C2494" s="60">
        <v>140</v>
      </c>
      <c r="D2494" s="60">
        <v>0</v>
      </c>
      <c r="E2494" s="60">
        <f t="shared" si="38"/>
        <v>0</v>
      </c>
    </row>
    <row r="2495" spans="1:5" x14ac:dyDescent="0.25">
      <c r="A2495" s="60">
        <v>295</v>
      </c>
      <c r="B2495" s="60" t="s">
        <v>120</v>
      </c>
      <c r="C2495" s="60">
        <v>141</v>
      </c>
      <c r="D2495" s="60">
        <v>114360</v>
      </c>
      <c r="E2495" s="60">
        <f t="shared" si="38"/>
        <v>-114360</v>
      </c>
    </row>
    <row r="2496" spans="1:5" x14ac:dyDescent="0.25">
      <c r="A2496" s="60">
        <v>295</v>
      </c>
      <c r="B2496" s="60" t="s">
        <v>120</v>
      </c>
      <c r="C2496" s="60">
        <v>200</v>
      </c>
      <c r="D2496" s="60">
        <v>395529</v>
      </c>
      <c r="E2496" s="60">
        <f t="shared" si="38"/>
        <v>-395529</v>
      </c>
    </row>
    <row r="2497" spans="1:5" x14ac:dyDescent="0.25">
      <c r="A2497" s="60">
        <v>295</v>
      </c>
      <c r="B2497" s="60" t="s">
        <v>120</v>
      </c>
      <c r="C2497" s="60">
        <v>210</v>
      </c>
      <c r="D2497" s="60">
        <v>6869</v>
      </c>
      <c r="E2497" s="60">
        <f t="shared" si="38"/>
        <v>-6869</v>
      </c>
    </row>
    <row r="2498" spans="1:5" x14ac:dyDescent="0.25">
      <c r="A2498" s="60">
        <v>295</v>
      </c>
      <c r="B2498" s="60" t="s">
        <v>120</v>
      </c>
      <c r="C2498" s="60">
        <v>220</v>
      </c>
      <c r="D2498" s="60">
        <v>0</v>
      </c>
      <c r="E2498" s="60">
        <f t="shared" ref="E2498:E2561" si="39">IF(C2498&lt;100,D2498,D2498*-1)</f>
        <v>0</v>
      </c>
    </row>
    <row r="2499" spans="1:5" x14ac:dyDescent="0.25">
      <c r="A2499" s="60">
        <v>295</v>
      </c>
      <c r="B2499" s="60" t="s">
        <v>120</v>
      </c>
      <c r="C2499" s="60">
        <v>230</v>
      </c>
      <c r="D2499" s="60">
        <v>53378</v>
      </c>
      <c r="E2499" s="60">
        <f t="shared" si="39"/>
        <v>-53378</v>
      </c>
    </row>
    <row r="2500" spans="1:5" x14ac:dyDescent="0.25">
      <c r="A2500" s="60">
        <v>295</v>
      </c>
      <c r="B2500" s="60" t="s">
        <v>120</v>
      </c>
      <c r="C2500" s="60">
        <v>270</v>
      </c>
      <c r="D2500" s="60">
        <v>0</v>
      </c>
      <c r="E2500" s="60">
        <f t="shared" si="39"/>
        <v>0</v>
      </c>
    </row>
    <row r="2501" spans="1:5" x14ac:dyDescent="0.25">
      <c r="A2501" s="60">
        <v>295</v>
      </c>
      <c r="B2501" s="60" t="s">
        <v>121</v>
      </c>
      <c r="C2501" s="60">
        <v>10</v>
      </c>
      <c r="D2501" s="60">
        <v>0</v>
      </c>
      <c r="E2501" s="60">
        <f t="shared" si="39"/>
        <v>0</v>
      </c>
    </row>
    <row r="2502" spans="1:5" x14ac:dyDescent="0.25">
      <c r="A2502" s="60">
        <v>295</v>
      </c>
      <c r="B2502" s="60" t="s">
        <v>121</v>
      </c>
      <c r="C2502" s="60">
        <v>110</v>
      </c>
      <c r="D2502" s="60">
        <v>0</v>
      </c>
      <c r="E2502" s="60">
        <f t="shared" si="39"/>
        <v>0</v>
      </c>
    </row>
    <row r="2503" spans="1:5" x14ac:dyDescent="0.25">
      <c r="A2503" s="60">
        <v>296</v>
      </c>
      <c r="B2503" s="60" t="s">
        <v>118</v>
      </c>
      <c r="C2503" s="60">
        <v>110</v>
      </c>
      <c r="D2503" s="60">
        <v>0</v>
      </c>
      <c r="E2503" s="60">
        <f t="shared" si="39"/>
        <v>0</v>
      </c>
    </row>
    <row r="2504" spans="1:5" x14ac:dyDescent="0.25">
      <c r="A2504" s="60">
        <v>296</v>
      </c>
      <c r="B2504" s="60" t="s">
        <v>119</v>
      </c>
      <c r="C2504" s="60">
        <v>50</v>
      </c>
      <c r="D2504" s="60">
        <v>0</v>
      </c>
      <c r="E2504" s="60">
        <f t="shared" si="39"/>
        <v>0</v>
      </c>
    </row>
    <row r="2505" spans="1:5" x14ac:dyDescent="0.25">
      <c r="A2505" s="60">
        <v>296</v>
      </c>
      <c r="B2505" s="60" t="s">
        <v>120</v>
      </c>
      <c r="C2505" s="60">
        <v>1</v>
      </c>
      <c r="D2505" s="60">
        <v>15078943</v>
      </c>
      <c r="E2505" s="60">
        <f t="shared" si="39"/>
        <v>15078943</v>
      </c>
    </row>
    <row r="2506" spans="1:5" x14ac:dyDescent="0.25">
      <c r="A2506" s="60">
        <v>296</v>
      </c>
      <c r="B2506" s="60" t="s">
        <v>120</v>
      </c>
      <c r="C2506" s="60">
        <v>10</v>
      </c>
      <c r="D2506" s="60">
        <v>18592180</v>
      </c>
      <c r="E2506" s="60">
        <f t="shared" si="39"/>
        <v>18592180</v>
      </c>
    </row>
    <row r="2507" spans="1:5" x14ac:dyDescent="0.25">
      <c r="A2507" s="60">
        <v>296</v>
      </c>
      <c r="B2507" s="60" t="s">
        <v>120</v>
      </c>
      <c r="C2507" s="60">
        <v>50</v>
      </c>
      <c r="D2507" s="60">
        <v>5044920</v>
      </c>
      <c r="E2507" s="60">
        <f t="shared" si="39"/>
        <v>5044920</v>
      </c>
    </row>
    <row r="2508" spans="1:5" x14ac:dyDescent="0.25">
      <c r="A2508" s="60">
        <v>296</v>
      </c>
      <c r="B2508" s="60" t="s">
        <v>120</v>
      </c>
      <c r="C2508" s="60">
        <v>70</v>
      </c>
      <c r="D2508" s="60">
        <v>-545683</v>
      </c>
      <c r="E2508" s="60">
        <f t="shared" si="39"/>
        <v>-545683</v>
      </c>
    </row>
    <row r="2509" spans="1:5" x14ac:dyDescent="0.25">
      <c r="A2509" s="60">
        <v>296</v>
      </c>
      <c r="B2509" s="60" t="s">
        <v>120</v>
      </c>
      <c r="C2509" s="60">
        <v>110</v>
      </c>
      <c r="D2509" s="60">
        <v>4881190</v>
      </c>
      <c r="E2509" s="60">
        <f t="shared" si="39"/>
        <v>-4881190</v>
      </c>
    </row>
    <row r="2510" spans="1:5" x14ac:dyDescent="0.25">
      <c r="A2510" s="60">
        <v>296</v>
      </c>
      <c r="B2510" s="60" t="s">
        <v>120</v>
      </c>
      <c r="C2510" s="60">
        <v>140</v>
      </c>
      <c r="D2510" s="60">
        <v>0</v>
      </c>
      <c r="E2510" s="60">
        <f t="shared" si="39"/>
        <v>0</v>
      </c>
    </row>
    <row r="2511" spans="1:5" x14ac:dyDescent="0.25">
      <c r="A2511" s="60">
        <v>296</v>
      </c>
      <c r="B2511" s="60" t="s">
        <v>120</v>
      </c>
      <c r="C2511" s="60">
        <v>141</v>
      </c>
      <c r="D2511" s="60">
        <v>9670780</v>
      </c>
      <c r="E2511" s="60">
        <f t="shared" si="39"/>
        <v>-9670780</v>
      </c>
    </row>
    <row r="2512" spans="1:5" x14ac:dyDescent="0.25">
      <c r="A2512" s="60">
        <v>296</v>
      </c>
      <c r="B2512" s="60" t="s">
        <v>120</v>
      </c>
      <c r="C2512" s="60">
        <v>200</v>
      </c>
      <c r="D2512" s="60">
        <v>185922</v>
      </c>
      <c r="E2512" s="60">
        <f t="shared" si="39"/>
        <v>-185922</v>
      </c>
    </row>
    <row r="2513" spans="1:5" x14ac:dyDescent="0.25">
      <c r="A2513" s="60">
        <v>296</v>
      </c>
      <c r="B2513" s="60" t="s">
        <v>120</v>
      </c>
      <c r="C2513" s="60">
        <v>210</v>
      </c>
      <c r="D2513" s="60">
        <v>0</v>
      </c>
      <c r="E2513" s="60">
        <f t="shared" si="39"/>
        <v>0</v>
      </c>
    </row>
    <row r="2514" spans="1:5" x14ac:dyDescent="0.25">
      <c r="A2514" s="60">
        <v>296</v>
      </c>
      <c r="B2514" s="60" t="s">
        <v>120</v>
      </c>
      <c r="C2514" s="60">
        <v>220</v>
      </c>
      <c r="D2514" s="60">
        <v>0</v>
      </c>
      <c r="E2514" s="60">
        <f t="shared" si="39"/>
        <v>0</v>
      </c>
    </row>
    <row r="2515" spans="1:5" x14ac:dyDescent="0.25">
      <c r="A2515" s="60">
        <v>296</v>
      </c>
      <c r="B2515" s="60" t="s">
        <v>120</v>
      </c>
      <c r="C2515" s="60">
        <v>230</v>
      </c>
      <c r="D2515" s="60">
        <v>5325</v>
      </c>
      <c r="E2515" s="60">
        <f t="shared" si="39"/>
        <v>-5325</v>
      </c>
    </row>
    <row r="2516" spans="1:5" x14ac:dyDescent="0.25">
      <c r="A2516" s="60">
        <v>301</v>
      </c>
      <c r="B2516" s="60" t="s">
        <v>117</v>
      </c>
      <c r="C2516" s="60">
        <v>110</v>
      </c>
      <c r="D2516" s="60">
        <v>0</v>
      </c>
      <c r="E2516" s="60">
        <f t="shared" si="39"/>
        <v>0</v>
      </c>
    </row>
    <row r="2517" spans="1:5" x14ac:dyDescent="0.25">
      <c r="A2517" s="60">
        <v>301</v>
      </c>
      <c r="B2517" s="60" t="s">
        <v>118</v>
      </c>
      <c r="C2517" s="60">
        <v>120</v>
      </c>
      <c r="D2517" s="60">
        <v>0</v>
      </c>
      <c r="E2517" s="60">
        <f t="shared" si="39"/>
        <v>0</v>
      </c>
    </row>
    <row r="2518" spans="1:5" x14ac:dyDescent="0.25">
      <c r="A2518" s="60">
        <v>311</v>
      </c>
      <c r="B2518" s="60" t="s">
        <v>117</v>
      </c>
      <c r="C2518" s="60">
        <v>1</v>
      </c>
      <c r="D2518" s="60">
        <v>22723665</v>
      </c>
      <c r="E2518" s="60">
        <f t="shared" si="39"/>
        <v>22723665</v>
      </c>
    </row>
    <row r="2519" spans="1:5" x14ac:dyDescent="0.25">
      <c r="A2519" s="60">
        <v>311</v>
      </c>
      <c r="B2519" s="60" t="s">
        <v>117</v>
      </c>
      <c r="C2519" s="60">
        <v>10</v>
      </c>
      <c r="D2519" s="60">
        <v>52123660</v>
      </c>
      <c r="E2519" s="60">
        <f t="shared" si="39"/>
        <v>52123660</v>
      </c>
    </row>
    <row r="2520" spans="1:5" x14ac:dyDescent="0.25">
      <c r="A2520" s="60">
        <v>311</v>
      </c>
      <c r="B2520" s="60" t="s">
        <v>117</v>
      </c>
      <c r="C2520" s="60">
        <v>15</v>
      </c>
      <c r="D2520" s="60">
        <v>0</v>
      </c>
      <c r="E2520" s="60">
        <f t="shared" si="39"/>
        <v>0</v>
      </c>
    </row>
    <row r="2521" spans="1:5" x14ac:dyDescent="0.25">
      <c r="A2521" s="60">
        <v>311</v>
      </c>
      <c r="B2521" s="60" t="s">
        <v>117</v>
      </c>
      <c r="C2521" s="60">
        <v>20</v>
      </c>
      <c r="D2521" s="60">
        <v>0</v>
      </c>
      <c r="E2521" s="60">
        <f t="shared" si="39"/>
        <v>0</v>
      </c>
    </row>
    <row r="2522" spans="1:5" x14ac:dyDescent="0.25">
      <c r="A2522" s="60">
        <v>311</v>
      </c>
      <c r="B2522" s="60" t="s">
        <v>117</v>
      </c>
      <c r="C2522" s="60">
        <v>50</v>
      </c>
      <c r="D2522" s="60">
        <v>26160</v>
      </c>
      <c r="E2522" s="60">
        <f t="shared" si="39"/>
        <v>26160</v>
      </c>
    </row>
    <row r="2523" spans="1:5" x14ac:dyDescent="0.25">
      <c r="A2523" s="60">
        <v>311</v>
      </c>
      <c r="B2523" s="60" t="s">
        <v>117</v>
      </c>
      <c r="C2523" s="60">
        <v>60</v>
      </c>
      <c r="D2523" s="60">
        <v>152940</v>
      </c>
      <c r="E2523" s="60">
        <f t="shared" si="39"/>
        <v>152940</v>
      </c>
    </row>
    <row r="2524" spans="1:5" x14ac:dyDescent="0.25">
      <c r="A2524" s="60">
        <v>311</v>
      </c>
      <c r="B2524" s="60" t="s">
        <v>117</v>
      </c>
      <c r="C2524" s="60">
        <v>70</v>
      </c>
      <c r="D2524" s="60">
        <v>180000</v>
      </c>
      <c r="E2524" s="60">
        <f t="shared" si="39"/>
        <v>180000</v>
      </c>
    </row>
    <row r="2525" spans="1:5" x14ac:dyDescent="0.25">
      <c r="A2525" s="60">
        <v>311</v>
      </c>
      <c r="B2525" s="60" t="s">
        <v>117</v>
      </c>
      <c r="C2525" s="60">
        <v>110</v>
      </c>
      <c r="D2525" s="60">
        <v>19249420</v>
      </c>
      <c r="E2525" s="60">
        <f t="shared" si="39"/>
        <v>-19249420</v>
      </c>
    </row>
    <row r="2526" spans="1:5" x14ac:dyDescent="0.25">
      <c r="A2526" s="60">
        <v>311</v>
      </c>
      <c r="B2526" s="60" t="s">
        <v>117</v>
      </c>
      <c r="C2526" s="60">
        <v>120</v>
      </c>
      <c r="D2526" s="60">
        <v>32340</v>
      </c>
      <c r="E2526" s="60">
        <f t="shared" si="39"/>
        <v>-32340</v>
      </c>
    </row>
    <row r="2527" spans="1:5" x14ac:dyDescent="0.25">
      <c r="A2527" s="60">
        <v>311</v>
      </c>
      <c r="B2527" s="60" t="s">
        <v>117</v>
      </c>
      <c r="C2527" s="60">
        <v>130</v>
      </c>
      <c r="D2527" s="60">
        <v>0</v>
      </c>
      <c r="E2527" s="60">
        <f t="shared" si="39"/>
        <v>0</v>
      </c>
    </row>
    <row r="2528" spans="1:5" x14ac:dyDescent="0.25">
      <c r="A2528" s="60">
        <v>311</v>
      </c>
      <c r="B2528" s="60" t="s">
        <v>117</v>
      </c>
      <c r="C2528" s="60">
        <v>140</v>
      </c>
      <c r="D2528" s="60">
        <v>324060</v>
      </c>
      <c r="E2528" s="60">
        <f t="shared" si="39"/>
        <v>-324060</v>
      </c>
    </row>
    <row r="2529" spans="1:5" x14ac:dyDescent="0.25">
      <c r="A2529" s="60">
        <v>311</v>
      </c>
      <c r="B2529" s="60" t="s">
        <v>117</v>
      </c>
      <c r="C2529" s="60">
        <v>141</v>
      </c>
      <c r="D2529" s="60">
        <v>24317020</v>
      </c>
      <c r="E2529" s="60">
        <f t="shared" si="39"/>
        <v>-24317020</v>
      </c>
    </row>
    <row r="2530" spans="1:5" x14ac:dyDescent="0.25">
      <c r="A2530" s="60">
        <v>311</v>
      </c>
      <c r="B2530" s="60" t="s">
        <v>117</v>
      </c>
      <c r="C2530" s="60">
        <v>200</v>
      </c>
      <c r="D2530" s="60">
        <v>255920</v>
      </c>
      <c r="E2530" s="60">
        <f t="shared" si="39"/>
        <v>-255920</v>
      </c>
    </row>
    <row r="2531" spans="1:5" x14ac:dyDescent="0.25">
      <c r="A2531" s="60">
        <v>311</v>
      </c>
      <c r="B2531" s="60" t="s">
        <v>117</v>
      </c>
      <c r="C2531" s="60">
        <v>210</v>
      </c>
      <c r="D2531" s="60">
        <v>339135</v>
      </c>
      <c r="E2531" s="60">
        <f t="shared" si="39"/>
        <v>-339135</v>
      </c>
    </row>
    <row r="2532" spans="1:5" x14ac:dyDescent="0.25">
      <c r="A2532" s="60">
        <v>311</v>
      </c>
      <c r="B2532" s="60" t="s">
        <v>117</v>
      </c>
      <c r="C2532" s="60">
        <v>230</v>
      </c>
      <c r="D2532" s="60">
        <v>0</v>
      </c>
      <c r="E2532" s="60">
        <f t="shared" si="39"/>
        <v>0</v>
      </c>
    </row>
    <row r="2533" spans="1:5" x14ac:dyDescent="0.25">
      <c r="A2533" s="60">
        <v>311</v>
      </c>
      <c r="B2533" s="60" t="s">
        <v>117</v>
      </c>
      <c r="C2533" s="60">
        <v>270</v>
      </c>
      <c r="D2533" s="60">
        <v>0</v>
      </c>
      <c r="E2533" s="60">
        <f t="shared" si="39"/>
        <v>0</v>
      </c>
    </row>
    <row r="2534" spans="1:5" x14ac:dyDescent="0.25">
      <c r="A2534" s="60">
        <v>311</v>
      </c>
      <c r="B2534" s="60" t="s">
        <v>117</v>
      </c>
      <c r="C2534" s="60">
        <v>298</v>
      </c>
      <c r="D2534" s="60">
        <v>0</v>
      </c>
      <c r="E2534" s="60">
        <f t="shared" si="39"/>
        <v>0</v>
      </c>
    </row>
    <row r="2535" spans="1:5" x14ac:dyDescent="0.25">
      <c r="A2535" s="60">
        <v>311</v>
      </c>
      <c r="B2535" s="60" t="s">
        <v>118</v>
      </c>
      <c r="C2535" s="60">
        <v>1</v>
      </c>
      <c r="D2535" s="60">
        <v>1118068</v>
      </c>
      <c r="E2535" s="60">
        <f t="shared" si="39"/>
        <v>1118068</v>
      </c>
    </row>
    <row r="2536" spans="1:5" x14ac:dyDescent="0.25">
      <c r="A2536" s="60">
        <v>311</v>
      </c>
      <c r="B2536" s="60" t="s">
        <v>118</v>
      </c>
      <c r="C2536" s="60">
        <v>10</v>
      </c>
      <c r="D2536" s="60">
        <v>8901280</v>
      </c>
      <c r="E2536" s="60">
        <f t="shared" si="39"/>
        <v>8901280</v>
      </c>
    </row>
    <row r="2537" spans="1:5" x14ac:dyDescent="0.25">
      <c r="A2537" s="60">
        <v>311</v>
      </c>
      <c r="B2537" s="60" t="s">
        <v>118</v>
      </c>
      <c r="C2537" s="60">
        <v>50</v>
      </c>
      <c r="D2537" s="60">
        <v>657180</v>
      </c>
      <c r="E2537" s="60">
        <f t="shared" si="39"/>
        <v>657180</v>
      </c>
    </row>
    <row r="2538" spans="1:5" x14ac:dyDescent="0.25">
      <c r="A2538" s="60">
        <v>311</v>
      </c>
      <c r="B2538" s="60" t="s">
        <v>118</v>
      </c>
      <c r="C2538" s="60">
        <v>60</v>
      </c>
      <c r="D2538" s="60">
        <v>0</v>
      </c>
      <c r="E2538" s="60">
        <f t="shared" si="39"/>
        <v>0</v>
      </c>
    </row>
    <row r="2539" spans="1:5" x14ac:dyDescent="0.25">
      <c r="A2539" s="60">
        <v>311</v>
      </c>
      <c r="B2539" s="60" t="s">
        <v>118</v>
      </c>
      <c r="C2539" s="60">
        <v>70</v>
      </c>
      <c r="D2539" s="60">
        <v>38804</v>
      </c>
      <c r="E2539" s="60">
        <f t="shared" si="39"/>
        <v>38804</v>
      </c>
    </row>
    <row r="2540" spans="1:5" x14ac:dyDescent="0.25">
      <c r="A2540" s="60">
        <v>311</v>
      </c>
      <c r="B2540" s="60" t="s">
        <v>118</v>
      </c>
      <c r="C2540" s="60">
        <v>100</v>
      </c>
      <c r="D2540" s="60">
        <v>0</v>
      </c>
      <c r="E2540" s="60">
        <f t="shared" si="39"/>
        <v>0</v>
      </c>
    </row>
    <row r="2541" spans="1:5" x14ac:dyDescent="0.25">
      <c r="A2541" s="60">
        <v>311</v>
      </c>
      <c r="B2541" s="60" t="s">
        <v>118</v>
      </c>
      <c r="C2541" s="60">
        <v>110</v>
      </c>
      <c r="D2541" s="60">
        <v>2158560</v>
      </c>
      <c r="E2541" s="60">
        <f t="shared" si="39"/>
        <v>-2158560</v>
      </c>
    </row>
    <row r="2542" spans="1:5" x14ac:dyDescent="0.25">
      <c r="A2542" s="60">
        <v>311</v>
      </c>
      <c r="B2542" s="60" t="s">
        <v>118</v>
      </c>
      <c r="C2542" s="60">
        <v>120</v>
      </c>
      <c r="D2542" s="60">
        <v>0</v>
      </c>
      <c r="E2542" s="60">
        <f t="shared" si="39"/>
        <v>0</v>
      </c>
    </row>
    <row r="2543" spans="1:5" x14ac:dyDescent="0.25">
      <c r="A2543" s="60">
        <v>311</v>
      </c>
      <c r="B2543" s="60" t="s">
        <v>118</v>
      </c>
      <c r="C2543" s="60">
        <v>130</v>
      </c>
      <c r="D2543" s="60">
        <v>1745300</v>
      </c>
      <c r="E2543" s="60">
        <f t="shared" si="39"/>
        <v>-1745300</v>
      </c>
    </row>
    <row r="2544" spans="1:5" x14ac:dyDescent="0.25">
      <c r="A2544" s="60">
        <v>311</v>
      </c>
      <c r="B2544" s="60" t="s">
        <v>118</v>
      </c>
      <c r="C2544" s="60">
        <v>140</v>
      </c>
      <c r="D2544" s="60">
        <v>109760</v>
      </c>
      <c r="E2544" s="60">
        <f t="shared" si="39"/>
        <v>-109760</v>
      </c>
    </row>
    <row r="2545" spans="1:5" x14ac:dyDescent="0.25">
      <c r="A2545" s="60">
        <v>311</v>
      </c>
      <c r="B2545" s="60" t="s">
        <v>118</v>
      </c>
      <c r="C2545" s="60">
        <v>141</v>
      </c>
      <c r="D2545" s="60">
        <v>6462500</v>
      </c>
      <c r="E2545" s="60">
        <f t="shared" si="39"/>
        <v>-6462500</v>
      </c>
    </row>
    <row r="2546" spans="1:5" x14ac:dyDescent="0.25">
      <c r="A2546" s="60">
        <v>311</v>
      </c>
      <c r="B2546" s="60" t="s">
        <v>118</v>
      </c>
      <c r="C2546" s="60">
        <v>200</v>
      </c>
      <c r="D2546" s="60">
        <v>42932</v>
      </c>
      <c r="E2546" s="60">
        <f t="shared" si="39"/>
        <v>-42932</v>
      </c>
    </row>
    <row r="2547" spans="1:5" x14ac:dyDescent="0.25">
      <c r="A2547" s="60">
        <v>311</v>
      </c>
      <c r="B2547" s="60" t="s">
        <v>118</v>
      </c>
      <c r="C2547" s="60">
        <v>210</v>
      </c>
      <c r="D2547" s="60">
        <v>0</v>
      </c>
      <c r="E2547" s="60">
        <f t="shared" si="39"/>
        <v>0</v>
      </c>
    </row>
    <row r="2548" spans="1:5" x14ac:dyDescent="0.25">
      <c r="A2548" s="60">
        <v>311</v>
      </c>
      <c r="B2548" s="60" t="s">
        <v>118</v>
      </c>
      <c r="C2548" s="60">
        <v>220</v>
      </c>
      <c r="D2548" s="60">
        <v>0</v>
      </c>
      <c r="E2548" s="60">
        <f t="shared" si="39"/>
        <v>0</v>
      </c>
    </row>
    <row r="2549" spans="1:5" x14ac:dyDescent="0.25">
      <c r="A2549" s="60">
        <v>311</v>
      </c>
      <c r="B2549" s="60" t="s">
        <v>118</v>
      </c>
      <c r="C2549" s="60">
        <v>230</v>
      </c>
      <c r="D2549" s="60">
        <v>260983</v>
      </c>
      <c r="E2549" s="60">
        <f t="shared" si="39"/>
        <v>-260983</v>
      </c>
    </row>
    <row r="2550" spans="1:5" x14ac:dyDescent="0.25">
      <c r="A2550" s="60">
        <v>311</v>
      </c>
      <c r="B2550" s="60" t="s">
        <v>118</v>
      </c>
      <c r="C2550" s="60">
        <v>298</v>
      </c>
      <c r="D2550" s="60">
        <v>0</v>
      </c>
      <c r="E2550" s="60">
        <f t="shared" si="39"/>
        <v>0</v>
      </c>
    </row>
    <row r="2551" spans="1:5" x14ac:dyDescent="0.25">
      <c r="A2551" s="60">
        <v>311</v>
      </c>
      <c r="B2551" s="60" t="s">
        <v>119</v>
      </c>
      <c r="C2551" s="60">
        <v>1</v>
      </c>
      <c r="D2551" s="60">
        <v>5744887</v>
      </c>
      <c r="E2551" s="60">
        <f t="shared" si="39"/>
        <v>5744887</v>
      </c>
    </row>
    <row r="2552" spans="1:5" x14ac:dyDescent="0.25">
      <c r="A2552" s="60">
        <v>311</v>
      </c>
      <c r="B2552" s="60" t="s">
        <v>119</v>
      </c>
      <c r="C2552" s="60">
        <v>10</v>
      </c>
      <c r="D2552" s="60">
        <v>52028580</v>
      </c>
      <c r="E2552" s="60">
        <f t="shared" si="39"/>
        <v>52028580</v>
      </c>
    </row>
    <row r="2553" spans="1:5" x14ac:dyDescent="0.25">
      <c r="A2553" s="60">
        <v>311</v>
      </c>
      <c r="B2553" s="60" t="s">
        <v>119</v>
      </c>
      <c r="C2553" s="60">
        <v>20</v>
      </c>
      <c r="D2553" s="60">
        <v>160383</v>
      </c>
      <c r="E2553" s="60">
        <f t="shared" si="39"/>
        <v>160383</v>
      </c>
    </row>
    <row r="2554" spans="1:5" x14ac:dyDescent="0.25">
      <c r="A2554" s="60">
        <v>311</v>
      </c>
      <c r="B2554" s="60" t="s">
        <v>119</v>
      </c>
      <c r="C2554" s="60">
        <v>50</v>
      </c>
      <c r="D2554" s="60">
        <v>525360</v>
      </c>
      <c r="E2554" s="60">
        <f t="shared" si="39"/>
        <v>525360</v>
      </c>
    </row>
    <row r="2555" spans="1:5" x14ac:dyDescent="0.25">
      <c r="A2555" s="60">
        <v>311</v>
      </c>
      <c r="B2555" s="60" t="s">
        <v>119</v>
      </c>
      <c r="C2555" s="60">
        <v>51</v>
      </c>
      <c r="D2555" s="60">
        <v>18960</v>
      </c>
      <c r="E2555" s="60">
        <f t="shared" si="39"/>
        <v>18960</v>
      </c>
    </row>
    <row r="2556" spans="1:5" x14ac:dyDescent="0.25">
      <c r="A2556" s="60">
        <v>311</v>
      </c>
      <c r="B2556" s="60" t="s">
        <v>119</v>
      </c>
      <c r="C2556" s="60">
        <v>60</v>
      </c>
      <c r="D2556" s="60">
        <v>0</v>
      </c>
      <c r="E2556" s="60">
        <f t="shared" si="39"/>
        <v>0</v>
      </c>
    </row>
    <row r="2557" spans="1:5" x14ac:dyDescent="0.25">
      <c r="A2557" s="60">
        <v>311</v>
      </c>
      <c r="B2557" s="60" t="s">
        <v>119</v>
      </c>
      <c r="C2557" s="60">
        <v>70</v>
      </c>
      <c r="D2557" s="60">
        <v>0</v>
      </c>
      <c r="E2557" s="60">
        <f t="shared" si="39"/>
        <v>0</v>
      </c>
    </row>
    <row r="2558" spans="1:5" x14ac:dyDescent="0.25">
      <c r="A2558" s="60">
        <v>311</v>
      </c>
      <c r="B2558" s="60" t="s">
        <v>119</v>
      </c>
      <c r="C2558" s="60">
        <v>110</v>
      </c>
      <c r="D2558" s="60">
        <v>23610840</v>
      </c>
      <c r="E2558" s="60">
        <f t="shared" si="39"/>
        <v>-23610840</v>
      </c>
    </row>
    <row r="2559" spans="1:5" x14ac:dyDescent="0.25">
      <c r="A2559" s="60">
        <v>311</v>
      </c>
      <c r="B2559" s="60" t="s">
        <v>119</v>
      </c>
      <c r="C2559" s="60">
        <v>120</v>
      </c>
      <c r="D2559" s="60">
        <v>0</v>
      </c>
      <c r="E2559" s="60">
        <f t="shared" si="39"/>
        <v>0</v>
      </c>
    </row>
    <row r="2560" spans="1:5" x14ac:dyDescent="0.25">
      <c r="A2560" s="60">
        <v>311</v>
      </c>
      <c r="B2560" s="60" t="s">
        <v>119</v>
      </c>
      <c r="C2560" s="60">
        <v>130</v>
      </c>
      <c r="D2560" s="60">
        <v>0</v>
      </c>
      <c r="E2560" s="60">
        <f t="shared" si="39"/>
        <v>0</v>
      </c>
    </row>
    <row r="2561" spans="1:5" x14ac:dyDescent="0.25">
      <c r="A2561" s="60">
        <v>311</v>
      </c>
      <c r="B2561" s="60" t="s">
        <v>119</v>
      </c>
      <c r="C2561" s="60">
        <v>140</v>
      </c>
      <c r="D2561" s="60">
        <v>4389080</v>
      </c>
      <c r="E2561" s="60">
        <f t="shared" si="39"/>
        <v>-4389080</v>
      </c>
    </row>
    <row r="2562" spans="1:5" x14ac:dyDescent="0.25">
      <c r="A2562" s="60">
        <v>311</v>
      </c>
      <c r="B2562" s="60" t="s">
        <v>119</v>
      </c>
      <c r="C2562" s="60">
        <v>141</v>
      </c>
      <c r="D2562" s="60">
        <v>15497780</v>
      </c>
      <c r="E2562" s="60">
        <f t="shared" ref="E2562:E2625" si="40">IF(C2562&lt;100,D2562,D2562*-1)</f>
        <v>-15497780</v>
      </c>
    </row>
    <row r="2563" spans="1:5" x14ac:dyDescent="0.25">
      <c r="A2563" s="60">
        <v>311</v>
      </c>
      <c r="B2563" s="60" t="s">
        <v>119</v>
      </c>
      <c r="C2563" s="60">
        <v>200</v>
      </c>
      <c r="D2563" s="60">
        <v>259239</v>
      </c>
      <c r="E2563" s="60">
        <f t="shared" si="40"/>
        <v>-259239</v>
      </c>
    </row>
    <row r="2564" spans="1:5" x14ac:dyDescent="0.25">
      <c r="A2564" s="60">
        <v>311</v>
      </c>
      <c r="B2564" s="60" t="s">
        <v>119</v>
      </c>
      <c r="C2564" s="60">
        <v>210</v>
      </c>
      <c r="D2564" s="60">
        <v>93347</v>
      </c>
      <c r="E2564" s="60">
        <f t="shared" si="40"/>
        <v>-93347</v>
      </c>
    </row>
    <row r="2565" spans="1:5" x14ac:dyDescent="0.25">
      <c r="A2565" s="60">
        <v>311</v>
      </c>
      <c r="B2565" s="60" t="s">
        <v>119</v>
      </c>
      <c r="C2565" s="60">
        <v>211</v>
      </c>
      <c r="D2565" s="60">
        <v>1270</v>
      </c>
      <c r="E2565" s="60">
        <f t="shared" si="40"/>
        <v>-1270</v>
      </c>
    </row>
    <row r="2566" spans="1:5" x14ac:dyDescent="0.25">
      <c r="A2566" s="60">
        <v>311</v>
      </c>
      <c r="B2566" s="60" t="s">
        <v>119</v>
      </c>
      <c r="C2566" s="60">
        <v>220</v>
      </c>
      <c r="D2566" s="60">
        <v>0</v>
      </c>
      <c r="E2566" s="60">
        <f t="shared" si="40"/>
        <v>0</v>
      </c>
    </row>
    <row r="2567" spans="1:5" x14ac:dyDescent="0.25">
      <c r="A2567" s="60">
        <v>311</v>
      </c>
      <c r="B2567" s="60" t="s">
        <v>119</v>
      </c>
      <c r="C2567" s="60">
        <v>230</v>
      </c>
      <c r="D2567" s="60">
        <v>240446</v>
      </c>
      <c r="E2567" s="60">
        <f t="shared" si="40"/>
        <v>-240446</v>
      </c>
    </row>
    <row r="2568" spans="1:5" x14ac:dyDescent="0.25">
      <c r="A2568" s="60">
        <v>311</v>
      </c>
      <c r="B2568" s="60" t="s">
        <v>119</v>
      </c>
      <c r="C2568" s="60">
        <v>270</v>
      </c>
      <c r="D2568" s="60">
        <v>0</v>
      </c>
      <c r="E2568" s="60">
        <f t="shared" si="40"/>
        <v>0</v>
      </c>
    </row>
    <row r="2569" spans="1:5" x14ac:dyDescent="0.25">
      <c r="A2569" s="60">
        <v>311</v>
      </c>
      <c r="B2569" s="60" t="s">
        <v>119</v>
      </c>
      <c r="C2569" s="60">
        <v>298</v>
      </c>
      <c r="D2569" s="60">
        <v>0</v>
      </c>
      <c r="E2569" s="60">
        <f t="shared" si="40"/>
        <v>0</v>
      </c>
    </row>
    <row r="2570" spans="1:5" x14ac:dyDescent="0.25">
      <c r="A2570" s="60">
        <v>311</v>
      </c>
      <c r="B2570" s="60" t="s">
        <v>120</v>
      </c>
      <c r="C2570" s="60">
        <v>1</v>
      </c>
      <c r="D2570" s="60">
        <v>17559541</v>
      </c>
      <c r="E2570" s="60">
        <f t="shared" si="40"/>
        <v>17559541</v>
      </c>
    </row>
    <row r="2571" spans="1:5" x14ac:dyDescent="0.25">
      <c r="A2571" s="60">
        <v>311</v>
      </c>
      <c r="B2571" s="60" t="s">
        <v>120</v>
      </c>
      <c r="C2571" s="60">
        <v>10</v>
      </c>
      <c r="D2571" s="60">
        <v>52986400</v>
      </c>
      <c r="E2571" s="60">
        <f t="shared" si="40"/>
        <v>52986400</v>
      </c>
    </row>
    <row r="2572" spans="1:5" x14ac:dyDescent="0.25">
      <c r="A2572" s="60">
        <v>311</v>
      </c>
      <c r="B2572" s="60" t="s">
        <v>120</v>
      </c>
      <c r="C2572" s="60">
        <v>20</v>
      </c>
      <c r="D2572" s="60">
        <v>0</v>
      </c>
      <c r="E2572" s="60">
        <f t="shared" si="40"/>
        <v>0</v>
      </c>
    </row>
    <row r="2573" spans="1:5" x14ac:dyDescent="0.25">
      <c r="A2573" s="60">
        <v>311</v>
      </c>
      <c r="B2573" s="60" t="s">
        <v>120</v>
      </c>
      <c r="C2573" s="60">
        <v>50</v>
      </c>
      <c r="D2573" s="60">
        <v>604480</v>
      </c>
      <c r="E2573" s="60">
        <f t="shared" si="40"/>
        <v>604480</v>
      </c>
    </row>
    <row r="2574" spans="1:5" x14ac:dyDescent="0.25">
      <c r="A2574" s="60">
        <v>311</v>
      </c>
      <c r="B2574" s="60" t="s">
        <v>120</v>
      </c>
      <c r="C2574" s="60">
        <v>60</v>
      </c>
      <c r="D2574" s="60">
        <v>0</v>
      </c>
      <c r="E2574" s="60">
        <f t="shared" si="40"/>
        <v>0</v>
      </c>
    </row>
    <row r="2575" spans="1:5" x14ac:dyDescent="0.25">
      <c r="A2575" s="60">
        <v>311</v>
      </c>
      <c r="B2575" s="60" t="s">
        <v>120</v>
      </c>
      <c r="C2575" s="60">
        <v>70</v>
      </c>
      <c r="D2575" s="60">
        <v>0</v>
      </c>
      <c r="E2575" s="60">
        <f t="shared" si="40"/>
        <v>0</v>
      </c>
    </row>
    <row r="2576" spans="1:5" x14ac:dyDescent="0.25">
      <c r="A2576" s="60">
        <v>311</v>
      </c>
      <c r="B2576" s="60" t="s">
        <v>120</v>
      </c>
      <c r="C2576" s="60">
        <v>100</v>
      </c>
      <c r="D2576" s="60">
        <v>0</v>
      </c>
      <c r="E2576" s="60">
        <f t="shared" si="40"/>
        <v>0</v>
      </c>
    </row>
    <row r="2577" spans="1:5" x14ac:dyDescent="0.25">
      <c r="A2577" s="60">
        <v>311</v>
      </c>
      <c r="B2577" s="60" t="s">
        <v>120</v>
      </c>
      <c r="C2577" s="60">
        <v>110</v>
      </c>
      <c r="D2577" s="60">
        <v>35677860</v>
      </c>
      <c r="E2577" s="60">
        <f t="shared" si="40"/>
        <v>-35677860</v>
      </c>
    </row>
    <row r="2578" spans="1:5" x14ac:dyDescent="0.25">
      <c r="A2578" s="60">
        <v>311</v>
      </c>
      <c r="B2578" s="60" t="s">
        <v>120</v>
      </c>
      <c r="C2578" s="60">
        <v>120</v>
      </c>
      <c r="D2578" s="60">
        <v>62400</v>
      </c>
      <c r="E2578" s="60">
        <f t="shared" si="40"/>
        <v>-62400</v>
      </c>
    </row>
    <row r="2579" spans="1:5" x14ac:dyDescent="0.25">
      <c r="A2579" s="60">
        <v>311</v>
      </c>
      <c r="B2579" s="60" t="s">
        <v>120</v>
      </c>
      <c r="C2579" s="60">
        <v>130</v>
      </c>
      <c r="D2579" s="60">
        <v>1524440</v>
      </c>
      <c r="E2579" s="60">
        <f t="shared" si="40"/>
        <v>-1524440</v>
      </c>
    </row>
    <row r="2580" spans="1:5" x14ac:dyDescent="0.25">
      <c r="A2580" s="60">
        <v>311</v>
      </c>
      <c r="B2580" s="60" t="s">
        <v>120</v>
      </c>
      <c r="C2580" s="60">
        <v>140</v>
      </c>
      <c r="D2580" s="60">
        <v>23048660</v>
      </c>
      <c r="E2580" s="60">
        <f t="shared" si="40"/>
        <v>-23048660</v>
      </c>
    </row>
    <row r="2581" spans="1:5" x14ac:dyDescent="0.25">
      <c r="A2581" s="60">
        <v>311</v>
      </c>
      <c r="B2581" s="60" t="s">
        <v>120</v>
      </c>
      <c r="C2581" s="60">
        <v>141</v>
      </c>
      <c r="D2581" s="60">
        <v>7760940</v>
      </c>
      <c r="E2581" s="60">
        <f t="shared" si="40"/>
        <v>-7760940</v>
      </c>
    </row>
    <row r="2582" spans="1:5" x14ac:dyDescent="0.25">
      <c r="A2582" s="60">
        <v>311</v>
      </c>
      <c r="B2582" s="60" t="s">
        <v>120</v>
      </c>
      <c r="C2582" s="60">
        <v>200</v>
      </c>
      <c r="D2582" s="60">
        <v>518634</v>
      </c>
      <c r="E2582" s="60">
        <f t="shared" si="40"/>
        <v>-518634</v>
      </c>
    </row>
    <row r="2583" spans="1:5" x14ac:dyDescent="0.25">
      <c r="A2583" s="60">
        <v>311</v>
      </c>
      <c r="B2583" s="60" t="s">
        <v>120</v>
      </c>
      <c r="C2583" s="60">
        <v>210</v>
      </c>
      <c r="D2583" s="60">
        <v>2830</v>
      </c>
      <c r="E2583" s="60">
        <f t="shared" si="40"/>
        <v>-2830</v>
      </c>
    </row>
    <row r="2584" spans="1:5" x14ac:dyDescent="0.25">
      <c r="A2584" s="60">
        <v>311</v>
      </c>
      <c r="B2584" s="60" t="s">
        <v>120</v>
      </c>
      <c r="C2584" s="60">
        <v>220</v>
      </c>
      <c r="D2584" s="60">
        <v>192521</v>
      </c>
      <c r="E2584" s="60">
        <f t="shared" si="40"/>
        <v>-192521</v>
      </c>
    </row>
    <row r="2585" spans="1:5" x14ac:dyDescent="0.25">
      <c r="A2585" s="60">
        <v>311</v>
      </c>
      <c r="B2585" s="60" t="s">
        <v>120</v>
      </c>
      <c r="C2585" s="60">
        <v>230</v>
      </c>
      <c r="D2585" s="60">
        <v>228131</v>
      </c>
      <c r="E2585" s="60">
        <f t="shared" si="40"/>
        <v>-228131</v>
      </c>
    </row>
    <row r="2586" spans="1:5" x14ac:dyDescent="0.25">
      <c r="A2586" s="60">
        <v>311</v>
      </c>
      <c r="B2586" s="60" t="s">
        <v>120</v>
      </c>
      <c r="C2586" s="60">
        <v>240</v>
      </c>
      <c r="D2586" s="60">
        <v>0</v>
      </c>
      <c r="E2586" s="60">
        <f t="shared" si="40"/>
        <v>0</v>
      </c>
    </row>
    <row r="2587" spans="1:5" x14ac:dyDescent="0.25">
      <c r="A2587" s="60">
        <v>311</v>
      </c>
      <c r="B2587" s="60" t="s">
        <v>120</v>
      </c>
      <c r="C2587" s="60">
        <v>298</v>
      </c>
      <c r="D2587" s="60">
        <v>0</v>
      </c>
      <c r="E2587" s="60">
        <f t="shared" si="40"/>
        <v>0</v>
      </c>
    </row>
    <row r="2588" spans="1:5" x14ac:dyDescent="0.25">
      <c r="A2588" s="60">
        <v>315</v>
      </c>
      <c r="B2588" s="60" t="s">
        <v>117</v>
      </c>
      <c r="C2588" s="60">
        <v>1</v>
      </c>
      <c r="D2588" s="60">
        <v>0</v>
      </c>
      <c r="E2588" s="60">
        <f t="shared" si="40"/>
        <v>0</v>
      </c>
    </row>
    <row r="2589" spans="1:5" x14ac:dyDescent="0.25">
      <c r="A2589" s="60">
        <v>315</v>
      </c>
      <c r="B2589" s="60" t="s">
        <v>117</v>
      </c>
      <c r="C2589" s="60">
        <v>10</v>
      </c>
      <c r="D2589" s="60">
        <v>0</v>
      </c>
      <c r="E2589" s="60">
        <f t="shared" si="40"/>
        <v>0</v>
      </c>
    </row>
    <row r="2590" spans="1:5" x14ac:dyDescent="0.25">
      <c r="A2590" s="60">
        <v>315</v>
      </c>
      <c r="B2590" s="60" t="s">
        <v>117</v>
      </c>
      <c r="C2590" s="60">
        <v>50</v>
      </c>
      <c r="D2590" s="60">
        <v>0</v>
      </c>
      <c r="E2590" s="60">
        <f t="shared" si="40"/>
        <v>0</v>
      </c>
    </row>
    <row r="2591" spans="1:5" x14ac:dyDescent="0.25">
      <c r="A2591" s="60">
        <v>315</v>
      </c>
      <c r="B2591" s="60" t="s">
        <v>117</v>
      </c>
      <c r="C2591" s="60">
        <v>60</v>
      </c>
      <c r="D2591" s="60">
        <v>0</v>
      </c>
      <c r="E2591" s="60">
        <f t="shared" si="40"/>
        <v>0</v>
      </c>
    </row>
    <row r="2592" spans="1:5" x14ac:dyDescent="0.25">
      <c r="A2592" s="60">
        <v>315</v>
      </c>
      <c r="B2592" s="60" t="s">
        <v>117</v>
      </c>
      <c r="C2592" s="60">
        <v>70</v>
      </c>
      <c r="D2592" s="60">
        <v>0</v>
      </c>
      <c r="E2592" s="60">
        <f t="shared" si="40"/>
        <v>0</v>
      </c>
    </row>
    <row r="2593" spans="1:5" x14ac:dyDescent="0.25">
      <c r="A2593" s="60">
        <v>315</v>
      </c>
      <c r="B2593" s="60" t="s">
        <v>117</v>
      </c>
      <c r="C2593" s="60">
        <v>110</v>
      </c>
      <c r="D2593" s="60">
        <v>0</v>
      </c>
      <c r="E2593" s="60">
        <f t="shared" si="40"/>
        <v>0</v>
      </c>
    </row>
    <row r="2594" spans="1:5" x14ac:dyDescent="0.25">
      <c r="A2594" s="60">
        <v>315</v>
      </c>
      <c r="B2594" s="60" t="s">
        <v>117</v>
      </c>
      <c r="C2594" s="60">
        <v>140</v>
      </c>
      <c r="D2594" s="60">
        <v>0</v>
      </c>
      <c r="E2594" s="60">
        <f t="shared" si="40"/>
        <v>0</v>
      </c>
    </row>
    <row r="2595" spans="1:5" x14ac:dyDescent="0.25">
      <c r="A2595" s="60">
        <v>315</v>
      </c>
      <c r="B2595" s="60" t="s">
        <v>117</v>
      </c>
      <c r="C2595" s="60">
        <v>200</v>
      </c>
      <c r="D2595" s="60">
        <v>0</v>
      </c>
      <c r="E2595" s="60">
        <f t="shared" si="40"/>
        <v>0</v>
      </c>
    </row>
    <row r="2596" spans="1:5" x14ac:dyDescent="0.25">
      <c r="A2596" s="60">
        <v>315</v>
      </c>
      <c r="B2596" s="60" t="s">
        <v>117</v>
      </c>
      <c r="C2596" s="60">
        <v>210</v>
      </c>
      <c r="D2596" s="60">
        <v>0</v>
      </c>
      <c r="E2596" s="60">
        <f t="shared" si="40"/>
        <v>0</v>
      </c>
    </row>
    <row r="2597" spans="1:5" x14ac:dyDescent="0.25">
      <c r="A2597" s="60">
        <v>315</v>
      </c>
      <c r="B2597" s="60" t="s">
        <v>118</v>
      </c>
      <c r="C2597" s="60">
        <v>10</v>
      </c>
      <c r="D2597" s="60">
        <v>0</v>
      </c>
      <c r="E2597" s="60">
        <f t="shared" si="40"/>
        <v>0</v>
      </c>
    </row>
    <row r="2598" spans="1:5" x14ac:dyDescent="0.25">
      <c r="A2598" s="60">
        <v>315</v>
      </c>
      <c r="B2598" s="60" t="s">
        <v>119</v>
      </c>
      <c r="C2598" s="60">
        <v>10</v>
      </c>
      <c r="D2598" s="60">
        <v>0</v>
      </c>
      <c r="E2598" s="60">
        <f t="shared" si="40"/>
        <v>0</v>
      </c>
    </row>
    <row r="2599" spans="1:5" x14ac:dyDescent="0.25">
      <c r="A2599" s="60">
        <v>315</v>
      </c>
      <c r="B2599" s="60" t="s">
        <v>120</v>
      </c>
      <c r="C2599" s="60">
        <v>1</v>
      </c>
      <c r="D2599" s="60">
        <v>0</v>
      </c>
      <c r="E2599" s="60">
        <f t="shared" si="40"/>
        <v>0</v>
      </c>
    </row>
    <row r="2600" spans="1:5" x14ac:dyDescent="0.25">
      <c r="A2600" s="60">
        <v>315</v>
      </c>
      <c r="B2600" s="60" t="s">
        <v>120</v>
      </c>
      <c r="C2600" s="60">
        <v>10</v>
      </c>
      <c r="D2600" s="60">
        <v>31140</v>
      </c>
      <c r="E2600" s="60">
        <f t="shared" si="40"/>
        <v>31140</v>
      </c>
    </row>
    <row r="2601" spans="1:5" x14ac:dyDescent="0.25">
      <c r="A2601" s="60">
        <v>315</v>
      </c>
      <c r="B2601" s="60" t="s">
        <v>120</v>
      </c>
      <c r="C2601" s="60">
        <v>50</v>
      </c>
      <c r="D2601" s="60">
        <v>23112220</v>
      </c>
      <c r="E2601" s="60">
        <f t="shared" si="40"/>
        <v>23112220</v>
      </c>
    </row>
    <row r="2602" spans="1:5" x14ac:dyDescent="0.25">
      <c r="A2602" s="60">
        <v>315</v>
      </c>
      <c r="B2602" s="60" t="s">
        <v>120</v>
      </c>
      <c r="C2602" s="60">
        <v>70</v>
      </c>
      <c r="D2602" s="60">
        <v>0</v>
      </c>
      <c r="E2602" s="60">
        <f t="shared" si="40"/>
        <v>0</v>
      </c>
    </row>
    <row r="2603" spans="1:5" x14ac:dyDescent="0.25">
      <c r="A2603" s="60">
        <v>315</v>
      </c>
      <c r="B2603" s="60" t="s">
        <v>120</v>
      </c>
      <c r="C2603" s="60">
        <v>110</v>
      </c>
      <c r="D2603" s="60">
        <v>172960</v>
      </c>
      <c r="E2603" s="60">
        <f t="shared" si="40"/>
        <v>-172960</v>
      </c>
    </row>
    <row r="2604" spans="1:5" x14ac:dyDescent="0.25">
      <c r="A2604" s="60">
        <v>315</v>
      </c>
      <c r="B2604" s="60" t="s">
        <v>120</v>
      </c>
      <c r="C2604" s="60">
        <v>120</v>
      </c>
      <c r="D2604" s="60">
        <v>0</v>
      </c>
      <c r="E2604" s="60">
        <f t="shared" si="40"/>
        <v>0</v>
      </c>
    </row>
    <row r="2605" spans="1:5" x14ac:dyDescent="0.25">
      <c r="A2605" s="60">
        <v>315</v>
      </c>
      <c r="B2605" s="60" t="s">
        <v>120</v>
      </c>
      <c r="C2605" s="60">
        <v>130</v>
      </c>
      <c r="D2605" s="60">
        <v>0</v>
      </c>
      <c r="E2605" s="60">
        <f t="shared" si="40"/>
        <v>0</v>
      </c>
    </row>
    <row r="2606" spans="1:5" x14ac:dyDescent="0.25">
      <c r="A2606" s="60">
        <v>315</v>
      </c>
      <c r="B2606" s="60" t="s">
        <v>120</v>
      </c>
      <c r="C2606" s="60">
        <v>140</v>
      </c>
      <c r="D2606" s="60">
        <v>553100</v>
      </c>
      <c r="E2606" s="60">
        <f t="shared" si="40"/>
        <v>-553100</v>
      </c>
    </row>
    <row r="2607" spans="1:5" x14ac:dyDescent="0.25">
      <c r="A2607" s="60">
        <v>315</v>
      </c>
      <c r="B2607" s="60" t="s">
        <v>120</v>
      </c>
      <c r="C2607" s="60">
        <v>200</v>
      </c>
      <c r="D2607" s="60">
        <v>311</v>
      </c>
      <c r="E2607" s="60">
        <f t="shared" si="40"/>
        <v>-311</v>
      </c>
    </row>
    <row r="2608" spans="1:5" x14ac:dyDescent="0.25">
      <c r="A2608" s="60">
        <v>315</v>
      </c>
      <c r="B2608" s="60" t="s">
        <v>120</v>
      </c>
      <c r="C2608" s="60">
        <v>210</v>
      </c>
      <c r="D2608" s="60">
        <v>0</v>
      </c>
      <c r="E2608" s="60">
        <f t="shared" si="40"/>
        <v>0</v>
      </c>
    </row>
    <row r="2609" spans="1:5" x14ac:dyDescent="0.25">
      <c r="A2609" s="60">
        <v>315</v>
      </c>
      <c r="B2609" s="60" t="s">
        <v>120</v>
      </c>
      <c r="C2609" s="60">
        <v>220</v>
      </c>
      <c r="D2609" s="60">
        <v>0</v>
      </c>
      <c r="E2609" s="60">
        <f t="shared" si="40"/>
        <v>0</v>
      </c>
    </row>
    <row r="2610" spans="1:5" x14ac:dyDescent="0.25">
      <c r="A2610" s="60">
        <v>315</v>
      </c>
      <c r="B2610" s="60" t="s">
        <v>120</v>
      </c>
      <c r="C2610" s="60">
        <v>230</v>
      </c>
      <c r="D2610" s="60">
        <v>0</v>
      </c>
      <c r="E2610" s="60">
        <f t="shared" si="40"/>
        <v>0</v>
      </c>
    </row>
    <row r="2611" spans="1:5" x14ac:dyDescent="0.25">
      <c r="A2611" s="60">
        <v>331</v>
      </c>
      <c r="B2611" s="60" t="s">
        <v>117</v>
      </c>
      <c r="C2611" s="60">
        <v>1</v>
      </c>
      <c r="D2611" s="60">
        <v>5058511</v>
      </c>
      <c r="E2611" s="60">
        <f t="shared" si="40"/>
        <v>5058511</v>
      </c>
    </row>
    <row r="2612" spans="1:5" x14ac:dyDescent="0.25">
      <c r="A2612" s="60">
        <v>331</v>
      </c>
      <c r="B2612" s="60" t="s">
        <v>117</v>
      </c>
      <c r="C2612" s="60">
        <v>10</v>
      </c>
      <c r="D2612" s="60">
        <v>13149500</v>
      </c>
      <c r="E2612" s="60">
        <f t="shared" si="40"/>
        <v>13149500</v>
      </c>
    </row>
    <row r="2613" spans="1:5" x14ac:dyDescent="0.25">
      <c r="A2613" s="60">
        <v>331</v>
      </c>
      <c r="B2613" s="60" t="s">
        <v>117</v>
      </c>
      <c r="C2613" s="60">
        <v>20</v>
      </c>
      <c r="D2613" s="60">
        <v>0</v>
      </c>
      <c r="E2613" s="60">
        <f t="shared" si="40"/>
        <v>0</v>
      </c>
    </row>
    <row r="2614" spans="1:5" x14ac:dyDescent="0.25">
      <c r="A2614" s="60">
        <v>331</v>
      </c>
      <c r="B2614" s="60" t="s">
        <v>117</v>
      </c>
      <c r="C2614" s="60">
        <v>50</v>
      </c>
      <c r="D2614" s="60">
        <v>0</v>
      </c>
      <c r="E2614" s="60">
        <f t="shared" si="40"/>
        <v>0</v>
      </c>
    </row>
    <row r="2615" spans="1:5" x14ac:dyDescent="0.25">
      <c r="A2615" s="60">
        <v>331</v>
      </c>
      <c r="B2615" s="60" t="s">
        <v>117</v>
      </c>
      <c r="C2615" s="60">
        <v>60</v>
      </c>
      <c r="D2615" s="60">
        <v>176820</v>
      </c>
      <c r="E2615" s="60">
        <f t="shared" si="40"/>
        <v>176820</v>
      </c>
    </row>
    <row r="2616" spans="1:5" x14ac:dyDescent="0.25">
      <c r="A2616" s="60">
        <v>331</v>
      </c>
      <c r="B2616" s="60" t="s">
        <v>117</v>
      </c>
      <c r="C2616" s="60">
        <v>70</v>
      </c>
      <c r="D2616" s="60">
        <v>180000</v>
      </c>
      <c r="E2616" s="60">
        <f t="shared" si="40"/>
        <v>180000</v>
      </c>
    </row>
    <row r="2617" spans="1:5" x14ac:dyDescent="0.25">
      <c r="A2617" s="60">
        <v>331</v>
      </c>
      <c r="B2617" s="60" t="s">
        <v>117</v>
      </c>
      <c r="C2617" s="60">
        <v>110</v>
      </c>
      <c r="D2617" s="60">
        <v>10451180</v>
      </c>
      <c r="E2617" s="60">
        <f t="shared" si="40"/>
        <v>-10451180</v>
      </c>
    </row>
    <row r="2618" spans="1:5" x14ac:dyDescent="0.25">
      <c r="A2618" s="60">
        <v>331</v>
      </c>
      <c r="B2618" s="60" t="s">
        <v>117</v>
      </c>
      <c r="C2618" s="60">
        <v>120</v>
      </c>
      <c r="D2618" s="60">
        <v>0</v>
      </c>
      <c r="E2618" s="60">
        <f t="shared" si="40"/>
        <v>0</v>
      </c>
    </row>
    <row r="2619" spans="1:5" x14ac:dyDescent="0.25">
      <c r="A2619" s="60">
        <v>331</v>
      </c>
      <c r="B2619" s="60" t="s">
        <v>117</v>
      </c>
      <c r="C2619" s="60">
        <v>130</v>
      </c>
      <c r="D2619" s="60">
        <v>0</v>
      </c>
      <c r="E2619" s="60">
        <f t="shared" si="40"/>
        <v>0</v>
      </c>
    </row>
    <row r="2620" spans="1:5" x14ac:dyDescent="0.25">
      <c r="A2620" s="60">
        <v>331</v>
      </c>
      <c r="B2620" s="60" t="s">
        <v>117</v>
      </c>
      <c r="C2620" s="60">
        <v>140</v>
      </c>
      <c r="D2620" s="60">
        <v>2416640</v>
      </c>
      <c r="E2620" s="60">
        <f t="shared" si="40"/>
        <v>-2416640</v>
      </c>
    </row>
    <row r="2621" spans="1:5" x14ac:dyDescent="0.25">
      <c r="A2621" s="60">
        <v>331</v>
      </c>
      <c r="B2621" s="60" t="s">
        <v>117</v>
      </c>
      <c r="C2621" s="60">
        <v>141</v>
      </c>
      <c r="D2621" s="60">
        <v>5064700</v>
      </c>
      <c r="E2621" s="60">
        <f t="shared" si="40"/>
        <v>-5064700</v>
      </c>
    </row>
    <row r="2622" spans="1:5" x14ac:dyDescent="0.25">
      <c r="A2622" s="60">
        <v>331</v>
      </c>
      <c r="B2622" s="60" t="s">
        <v>117</v>
      </c>
      <c r="C2622" s="60">
        <v>200</v>
      </c>
      <c r="D2622" s="60">
        <v>65273</v>
      </c>
      <c r="E2622" s="60">
        <f t="shared" si="40"/>
        <v>-65273</v>
      </c>
    </row>
    <row r="2623" spans="1:5" x14ac:dyDescent="0.25">
      <c r="A2623" s="60">
        <v>331</v>
      </c>
      <c r="B2623" s="60" t="s">
        <v>117</v>
      </c>
      <c r="C2623" s="60">
        <v>210</v>
      </c>
      <c r="D2623" s="60">
        <v>79290</v>
      </c>
      <c r="E2623" s="60">
        <f t="shared" si="40"/>
        <v>-79290</v>
      </c>
    </row>
    <row r="2624" spans="1:5" x14ac:dyDescent="0.25">
      <c r="A2624" s="60">
        <v>331</v>
      </c>
      <c r="B2624" s="60" t="s">
        <v>117</v>
      </c>
      <c r="C2624" s="60">
        <v>220</v>
      </c>
      <c r="D2624" s="60">
        <v>0</v>
      </c>
      <c r="E2624" s="60">
        <f t="shared" si="40"/>
        <v>0</v>
      </c>
    </row>
    <row r="2625" spans="1:5" x14ac:dyDescent="0.25">
      <c r="A2625" s="60">
        <v>331</v>
      </c>
      <c r="B2625" s="60" t="s">
        <v>117</v>
      </c>
      <c r="C2625" s="60">
        <v>230</v>
      </c>
      <c r="D2625" s="60">
        <v>0</v>
      </c>
      <c r="E2625" s="60">
        <f t="shared" si="40"/>
        <v>0</v>
      </c>
    </row>
    <row r="2626" spans="1:5" x14ac:dyDescent="0.25">
      <c r="A2626" s="60">
        <v>331</v>
      </c>
      <c r="B2626" s="60" t="s">
        <v>117</v>
      </c>
      <c r="C2626" s="60">
        <v>298</v>
      </c>
      <c r="D2626" s="60">
        <v>0</v>
      </c>
      <c r="E2626" s="60">
        <f t="shared" ref="E2626:E2689" si="41">IF(C2626&lt;100,D2626,D2626*-1)</f>
        <v>0</v>
      </c>
    </row>
    <row r="2627" spans="1:5" x14ac:dyDescent="0.25">
      <c r="A2627" s="60">
        <v>331</v>
      </c>
      <c r="B2627" s="60" t="s">
        <v>118</v>
      </c>
      <c r="C2627" s="60">
        <v>1</v>
      </c>
      <c r="D2627" s="60">
        <v>1172959</v>
      </c>
      <c r="E2627" s="60">
        <f t="shared" si="41"/>
        <v>1172959</v>
      </c>
    </row>
    <row r="2628" spans="1:5" x14ac:dyDescent="0.25">
      <c r="A2628" s="60">
        <v>331</v>
      </c>
      <c r="B2628" s="60" t="s">
        <v>118</v>
      </c>
      <c r="C2628" s="60">
        <v>10</v>
      </c>
      <c r="D2628" s="60">
        <v>546060</v>
      </c>
      <c r="E2628" s="60">
        <f t="shared" si="41"/>
        <v>546060</v>
      </c>
    </row>
    <row r="2629" spans="1:5" x14ac:dyDescent="0.25">
      <c r="A2629" s="60">
        <v>331</v>
      </c>
      <c r="B2629" s="60" t="s">
        <v>118</v>
      </c>
      <c r="C2629" s="60">
        <v>20</v>
      </c>
      <c r="D2629" s="60">
        <v>0</v>
      </c>
      <c r="E2629" s="60">
        <f t="shared" si="41"/>
        <v>0</v>
      </c>
    </row>
    <row r="2630" spans="1:5" x14ac:dyDescent="0.25">
      <c r="A2630" s="60">
        <v>331</v>
      </c>
      <c r="B2630" s="60" t="s">
        <v>118</v>
      </c>
      <c r="C2630" s="60">
        <v>50</v>
      </c>
      <c r="D2630" s="60">
        <v>109880</v>
      </c>
      <c r="E2630" s="60">
        <f t="shared" si="41"/>
        <v>109880</v>
      </c>
    </row>
    <row r="2631" spans="1:5" x14ac:dyDescent="0.25">
      <c r="A2631" s="60">
        <v>331</v>
      </c>
      <c r="B2631" s="60" t="s">
        <v>118</v>
      </c>
      <c r="C2631" s="60">
        <v>60</v>
      </c>
      <c r="D2631" s="60">
        <v>0</v>
      </c>
      <c r="E2631" s="60">
        <f t="shared" si="41"/>
        <v>0</v>
      </c>
    </row>
    <row r="2632" spans="1:5" x14ac:dyDescent="0.25">
      <c r="A2632" s="60">
        <v>331</v>
      </c>
      <c r="B2632" s="60" t="s">
        <v>118</v>
      </c>
      <c r="C2632" s="60">
        <v>70</v>
      </c>
      <c r="D2632" s="60">
        <v>-38804</v>
      </c>
      <c r="E2632" s="60">
        <f t="shared" si="41"/>
        <v>-38804</v>
      </c>
    </row>
    <row r="2633" spans="1:5" x14ac:dyDescent="0.25">
      <c r="A2633" s="60">
        <v>331</v>
      </c>
      <c r="B2633" s="60" t="s">
        <v>118</v>
      </c>
      <c r="C2633" s="60">
        <v>110</v>
      </c>
      <c r="D2633" s="60">
        <v>0</v>
      </c>
      <c r="E2633" s="60">
        <f t="shared" si="41"/>
        <v>0</v>
      </c>
    </row>
    <row r="2634" spans="1:5" x14ac:dyDescent="0.25">
      <c r="A2634" s="60">
        <v>331</v>
      </c>
      <c r="B2634" s="60" t="s">
        <v>118</v>
      </c>
      <c r="C2634" s="60">
        <v>120</v>
      </c>
      <c r="D2634" s="60">
        <v>0</v>
      </c>
      <c r="E2634" s="60">
        <f t="shared" si="41"/>
        <v>0</v>
      </c>
    </row>
    <row r="2635" spans="1:5" x14ac:dyDescent="0.25">
      <c r="A2635" s="60">
        <v>331</v>
      </c>
      <c r="B2635" s="60" t="s">
        <v>118</v>
      </c>
      <c r="C2635" s="60">
        <v>130</v>
      </c>
      <c r="D2635" s="60">
        <v>1116480</v>
      </c>
      <c r="E2635" s="60">
        <f t="shared" si="41"/>
        <v>-1116480</v>
      </c>
    </row>
    <row r="2636" spans="1:5" x14ac:dyDescent="0.25">
      <c r="A2636" s="60">
        <v>331</v>
      </c>
      <c r="B2636" s="60" t="s">
        <v>118</v>
      </c>
      <c r="C2636" s="60">
        <v>140</v>
      </c>
      <c r="D2636" s="60">
        <v>659200</v>
      </c>
      <c r="E2636" s="60">
        <f t="shared" si="41"/>
        <v>-659200</v>
      </c>
    </row>
    <row r="2637" spans="1:5" x14ac:dyDescent="0.25">
      <c r="A2637" s="60">
        <v>331</v>
      </c>
      <c r="B2637" s="60" t="s">
        <v>118</v>
      </c>
      <c r="C2637" s="60">
        <v>200</v>
      </c>
      <c r="D2637" s="60">
        <v>2730</v>
      </c>
      <c r="E2637" s="60">
        <f t="shared" si="41"/>
        <v>-2730</v>
      </c>
    </row>
    <row r="2638" spans="1:5" x14ac:dyDescent="0.25">
      <c r="A2638" s="60">
        <v>331</v>
      </c>
      <c r="B2638" s="60" t="s">
        <v>118</v>
      </c>
      <c r="C2638" s="60">
        <v>210</v>
      </c>
      <c r="D2638" s="60">
        <v>0</v>
      </c>
      <c r="E2638" s="60">
        <f t="shared" si="41"/>
        <v>0</v>
      </c>
    </row>
    <row r="2639" spans="1:5" x14ac:dyDescent="0.25">
      <c r="A2639" s="60">
        <v>331</v>
      </c>
      <c r="B2639" s="60" t="s">
        <v>118</v>
      </c>
      <c r="C2639" s="60">
        <v>220</v>
      </c>
      <c r="D2639" s="60">
        <v>0</v>
      </c>
      <c r="E2639" s="60">
        <f t="shared" si="41"/>
        <v>0</v>
      </c>
    </row>
    <row r="2640" spans="1:5" x14ac:dyDescent="0.25">
      <c r="A2640" s="60">
        <v>331</v>
      </c>
      <c r="B2640" s="60" t="s">
        <v>118</v>
      </c>
      <c r="C2640" s="60">
        <v>230</v>
      </c>
      <c r="D2640" s="60">
        <v>11685</v>
      </c>
      <c r="E2640" s="60">
        <f t="shared" si="41"/>
        <v>-11685</v>
      </c>
    </row>
    <row r="2641" spans="1:5" x14ac:dyDescent="0.25">
      <c r="A2641" s="60">
        <v>331</v>
      </c>
      <c r="B2641" s="60" t="s">
        <v>118</v>
      </c>
      <c r="C2641" s="60">
        <v>270</v>
      </c>
      <c r="D2641" s="60">
        <v>0</v>
      </c>
      <c r="E2641" s="60">
        <f t="shared" si="41"/>
        <v>0</v>
      </c>
    </row>
    <row r="2642" spans="1:5" x14ac:dyDescent="0.25">
      <c r="A2642" s="60">
        <v>331</v>
      </c>
      <c r="B2642" s="60" t="s">
        <v>118</v>
      </c>
      <c r="C2642" s="60">
        <v>298</v>
      </c>
      <c r="D2642" s="60">
        <v>0</v>
      </c>
      <c r="E2642" s="60">
        <f t="shared" si="41"/>
        <v>0</v>
      </c>
    </row>
    <row r="2643" spans="1:5" x14ac:dyDescent="0.25">
      <c r="A2643" s="60">
        <v>331</v>
      </c>
      <c r="B2643" s="60" t="s">
        <v>119</v>
      </c>
      <c r="C2643" s="60">
        <v>1</v>
      </c>
      <c r="D2643" s="60">
        <v>0</v>
      </c>
      <c r="E2643" s="60">
        <f t="shared" si="41"/>
        <v>0</v>
      </c>
    </row>
    <row r="2644" spans="1:5" x14ac:dyDescent="0.25">
      <c r="A2644" s="60">
        <v>331</v>
      </c>
      <c r="B2644" s="60" t="s">
        <v>119</v>
      </c>
      <c r="C2644" s="60">
        <v>10</v>
      </c>
      <c r="D2644" s="60">
        <v>2096800</v>
      </c>
      <c r="E2644" s="60">
        <f t="shared" si="41"/>
        <v>2096800</v>
      </c>
    </row>
    <row r="2645" spans="1:5" x14ac:dyDescent="0.25">
      <c r="A2645" s="60">
        <v>331</v>
      </c>
      <c r="B2645" s="60" t="s">
        <v>119</v>
      </c>
      <c r="C2645" s="60">
        <v>20</v>
      </c>
      <c r="D2645" s="60">
        <v>0</v>
      </c>
      <c r="E2645" s="60">
        <f t="shared" si="41"/>
        <v>0</v>
      </c>
    </row>
    <row r="2646" spans="1:5" x14ac:dyDescent="0.25">
      <c r="A2646" s="60">
        <v>331</v>
      </c>
      <c r="B2646" s="60" t="s">
        <v>119</v>
      </c>
      <c r="C2646" s="60">
        <v>50</v>
      </c>
      <c r="D2646" s="60">
        <v>166720</v>
      </c>
      <c r="E2646" s="60">
        <f t="shared" si="41"/>
        <v>166720</v>
      </c>
    </row>
    <row r="2647" spans="1:5" x14ac:dyDescent="0.25">
      <c r="A2647" s="60">
        <v>331</v>
      </c>
      <c r="B2647" s="60" t="s">
        <v>119</v>
      </c>
      <c r="C2647" s="60">
        <v>70</v>
      </c>
      <c r="D2647" s="60">
        <v>0</v>
      </c>
      <c r="E2647" s="60">
        <f t="shared" si="41"/>
        <v>0</v>
      </c>
    </row>
    <row r="2648" spans="1:5" x14ac:dyDescent="0.25">
      <c r="A2648" s="60">
        <v>331</v>
      </c>
      <c r="B2648" s="60" t="s">
        <v>119</v>
      </c>
      <c r="C2648" s="60">
        <v>110</v>
      </c>
      <c r="D2648" s="60">
        <v>109960</v>
      </c>
      <c r="E2648" s="60">
        <f t="shared" si="41"/>
        <v>-109960</v>
      </c>
    </row>
    <row r="2649" spans="1:5" x14ac:dyDescent="0.25">
      <c r="A2649" s="60">
        <v>331</v>
      </c>
      <c r="B2649" s="60" t="s">
        <v>119</v>
      </c>
      <c r="C2649" s="60">
        <v>120</v>
      </c>
      <c r="D2649" s="60">
        <v>0</v>
      </c>
      <c r="E2649" s="60">
        <f t="shared" si="41"/>
        <v>0</v>
      </c>
    </row>
    <row r="2650" spans="1:5" x14ac:dyDescent="0.25">
      <c r="A2650" s="60">
        <v>331</v>
      </c>
      <c r="B2650" s="60" t="s">
        <v>119</v>
      </c>
      <c r="C2650" s="60">
        <v>130</v>
      </c>
      <c r="D2650" s="60">
        <v>0</v>
      </c>
      <c r="E2650" s="60">
        <f t="shared" si="41"/>
        <v>0</v>
      </c>
    </row>
    <row r="2651" spans="1:5" x14ac:dyDescent="0.25">
      <c r="A2651" s="60">
        <v>331</v>
      </c>
      <c r="B2651" s="60" t="s">
        <v>119</v>
      </c>
      <c r="C2651" s="60">
        <v>140</v>
      </c>
      <c r="D2651" s="60">
        <v>723100</v>
      </c>
      <c r="E2651" s="60">
        <f t="shared" si="41"/>
        <v>-723100</v>
      </c>
    </row>
    <row r="2652" spans="1:5" x14ac:dyDescent="0.25">
      <c r="A2652" s="60">
        <v>331</v>
      </c>
      <c r="B2652" s="60" t="s">
        <v>119</v>
      </c>
      <c r="C2652" s="60">
        <v>200</v>
      </c>
      <c r="D2652" s="60">
        <v>10484</v>
      </c>
      <c r="E2652" s="60">
        <f t="shared" si="41"/>
        <v>-10484</v>
      </c>
    </row>
    <row r="2653" spans="1:5" x14ac:dyDescent="0.25">
      <c r="A2653" s="60">
        <v>331</v>
      </c>
      <c r="B2653" s="60" t="s">
        <v>119</v>
      </c>
      <c r="C2653" s="60">
        <v>210</v>
      </c>
      <c r="D2653" s="60">
        <v>6815</v>
      </c>
      <c r="E2653" s="60">
        <f t="shared" si="41"/>
        <v>-6815</v>
      </c>
    </row>
    <row r="2654" spans="1:5" x14ac:dyDescent="0.25">
      <c r="A2654" s="60">
        <v>331</v>
      </c>
      <c r="B2654" s="60" t="s">
        <v>119</v>
      </c>
      <c r="C2654" s="60">
        <v>220</v>
      </c>
      <c r="D2654" s="60">
        <v>0</v>
      </c>
      <c r="E2654" s="60">
        <f t="shared" si="41"/>
        <v>0</v>
      </c>
    </row>
    <row r="2655" spans="1:5" x14ac:dyDescent="0.25">
      <c r="A2655" s="60">
        <v>331</v>
      </c>
      <c r="B2655" s="60" t="s">
        <v>119</v>
      </c>
      <c r="C2655" s="60">
        <v>230</v>
      </c>
      <c r="D2655" s="60">
        <v>0</v>
      </c>
      <c r="E2655" s="60">
        <f t="shared" si="41"/>
        <v>0</v>
      </c>
    </row>
    <row r="2656" spans="1:5" x14ac:dyDescent="0.25">
      <c r="A2656" s="60">
        <v>331</v>
      </c>
      <c r="B2656" s="60" t="s">
        <v>119</v>
      </c>
      <c r="C2656" s="60">
        <v>270</v>
      </c>
      <c r="D2656" s="60">
        <v>0</v>
      </c>
      <c r="E2656" s="60">
        <f t="shared" si="41"/>
        <v>0</v>
      </c>
    </row>
    <row r="2657" spans="1:5" x14ac:dyDescent="0.25">
      <c r="A2657" s="60">
        <v>331</v>
      </c>
      <c r="B2657" s="60" t="s">
        <v>119</v>
      </c>
      <c r="C2657" s="60">
        <v>298</v>
      </c>
      <c r="D2657" s="60">
        <v>0</v>
      </c>
      <c r="E2657" s="60">
        <f t="shared" si="41"/>
        <v>0</v>
      </c>
    </row>
    <row r="2658" spans="1:5" x14ac:dyDescent="0.25">
      <c r="A2658" s="60">
        <v>331</v>
      </c>
      <c r="B2658" s="60" t="s">
        <v>120</v>
      </c>
      <c r="C2658" s="60">
        <v>70</v>
      </c>
      <c r="D2658" s="60">
        <v>0</v>
      </c>
      <c r="E2658" s="60">
        <f t="shared" si="41"/>
        <v>0</v>
      </c>
    </row>
    <row r="2659" spans="1:5" x14ac:dyDescent="0.25">
      <c r="A2659" s="60">
        <v>331</v>
      </c>
      <c r="B2659" s="60" t="s">
        <v>120</v>
      </c>
      <c r="C2659" s="60">
        <v>130</v>
      </c>
      <c r="D2659" s="60">
        <v>0</v>
      </c>
      <c r="E2659" s="60">
        <f t="shared" si="41"/>
        <v>0</v>
      </c>
    </row>
    <row r="2660" spans="1:5" x14ac:dyDescent="0.25">
      <c r="A2660" s="60">
        <v>341</v>
      </c>
      <c r="B2660" s="60" t="s">
        <v>117</v>
      </c>
      <c r="C2660" s="60">
        <v>1</v>
      </c>
      <c r="D2660" s="60">
        <v>16660</v>
      </c>
      <c r="E2660" s="60">
        <f t="shared" si="41"/>
        <v>16660</v>
      </c>
    </row>
    <row r="2661" spans="1:5" x14ac:dyDescent="0.25">
      <c r="A2661" s="60">
        <v>341</v>
      </c>
      <c r="B2661" s="60" t="s">
        <v>117</v>
      </c>
      <c r="C2661" s="60">
        <v>10</v>
      </c>
      <c r="D2661" s="60">
        <v>47826300</v>
      </c>
      <c r="E2661" s="60">
        <f t="shared" si="41"/>
        <v>47826300</v>
      </c>
    </row>
    <row r="2662" spans="1:5" x14ac:dyDescent="0.25">
      <c r="A2662" s="60">
        <v>341</v>
      </c>
      <c r="B2662" s="60" t="s">
        <v>117</v>
      </c>
      <c r="C2662" s="60">
        <v>20</v>
      </c>
      <c r="D2662" s="60">
        <v>0</v>
      </c>
      <c r="E2662" s="60">
        <f t="shared" si="41"/>
        <v>0</v>
      </c>
    </row>
    <row r="2663" spans="1:5" x14ac:dyDescent="0.25">
      <c r="A2663" s="60">
        <v>341</v>
      </c>
      <c r="B2663" s="60" t="s">
        <v>117</v>
      </c>
      <c r="C2663" s="60">
        <v>50</v>
      </c>
      <c r="D2663" s="60">
        <v>0</v>
      </c>
      <c r="E2663" s="60">
        <f t="shared" si="41"/>
        <v>0</v>
      </c>
    </row>
    <row r="2664" spans="1:5" x14ac:dyDescent="0.25">
      <c r="A2664" s="60">
        <v>341</v>
      </c>
      <c r="B2664" s="60" t="s">
        <v>117</v>
      </c>
      <c r="C2664" s="60">
        <v>70</v>
      </c>
      <c r="D2664" s="60">
        <v>0</v>
      </c>
      <c r="E2664" s="60">
        <f t="shared" si="41"/>
        <v>0</v>
      </c>
    </row>
    <row r="2665" spans="1:5" x14ac:dyDescent="0.25">
      <c r="A2665" s="60">
        <v>341</v>
      </c>
      <c r="B2665" s="60" t="s">
        <v>117</v>
      </c>
      <c r="C2665" s="60">
        <v>100</v>
      </c>
      <c r="D2665" s="60">
        <v>0</v>
      </c>
      <c r="E2665" s="60">
        <f t="shared" si="41"/>
        <v>0</v>
      </c>
    </row>
    <row r="2666" spans="1:5" x14ac:dyDescent="0.25">
      <c r="A2666" s="60">
        <v>341</v>
      </c>
      <c r="B2666" s="60" t="s">
        <v>117</v>
      </c>
      <c r="C2666" s="60">
        <v>110</v>
      </c>
      <c r="D2666" s="60">
        <v>7820580</v>
      </c>
      <c r="E2666" s="60">
        <f t="shared" si="41"/>
        <v>-7820580</v>
      </c>
    </row>
    <row r="2667" spans="1:5" x14ac:dyDescent="0.25">
      <c r="A2667" s="60">
        <v>341</v>
      </c>
      <c r="B2667" s="60" t="s">
        <v>117</v>
      </c>
      <c r="C2667" s="60">
        <v>120</v>
      </c>
      <c r="D2667" s="60">
        <v>0</v>
      </c>
      <c r="E2667" s="60">
        <f t="shared" si="41"/>
        <v>0</v>
      </c>
    </row>
    <row r="2668" spans="1:5" x14ac:dyDescent="0.25">
      <c r="A2668" s="60">
        <v>341</v>
      </c>
      <c r="B2668" s="60" t="s">
        <v>117</v>
      </c>
      <c r="C2668" s="60">
        <v>130</v>
      </c>
      <c r="D2668" s="60">
        <v>0</v>
      </c>
      <c r="E2668" s="60">
        <f t="shared" si="41"/>
        <v>0</v>
      </c>
    </row>
    <row r="2669" spans="1:5" x14ac:dyDescent="0.25">
      <c r="A2669" s="60">
        <v>341</v>
      </c>
      <c r="B2669" s="60" t="s">
        <v>117</v>
      </c>
      <c r="C2669" s="60">
        <v>140</v>
      </c>
      <c r="D2669" s="60">
        <v>1181260</v>
      </c>
      <c r="E2669" s="60">
        <f t="shared" si="41"/>
        <v>-1181260</v>
      </c>
    </row>
    <row r="2670" spans="1:5" x14ac:dyDescent="0.25">
      <c r="A2670" s="60">
        <v>341</v>
      </c>
      <c r="B2670" s="60" t="s">
        <v>117</v>
      </c>
      <c r="C2670" s="60">
        <v>141</v>
      </c>
      <c r="D2670" s="60">
        <v>20328140</v>
      </c>
      <c r="E2670" s="60">
        <f t="shared" si="41"/>
        <v>-20328140</v>
      </c>
    </row>
    <row r="2671" spans="1:5" x14ac:dyDescent="0.25">
      <c r="A2671" s="60">
        <v>341</v>
      </c>
      <c r="B2671" s="60" t="s">
        <v>117</v>
      </c>
      <c r="C2671" s="60">
        <v>200</v>
      </c>
      <c r="D2671" s="60">
        <v>236904</v>
      </c>
      <c r="E2671" s="60">
        <f t="shared" si="41"/>
        <v>-236904</v>
      </c>
    </row>
    <row r="2672" spans="1:5" x14ac:dyDescent="0.25">
      <c r="A2672" s="60">
        <v>341</v>
      </c>
      <c r="B2672" s="60" t="s">
        <v>117</v>
      </c>
      <c r="C2672" s="60">
        <v>210</v>
      </c>
      <c r="D2672" s="60">
        <v>218875</v>
      </c>
      <c r="E2672" s="60">
        <f t="shared" si="41"/>
        <v>-218875</v>
      </c>
    </row>
    <row r="2673" spans="1:5" x14ac:dyDescent="0.25">
      <c r="A2673" s="60">
        <v>341</v>
      </c>
      <c r="B2673" s="60" t="s">
        <v>117</v>
      </c>
      <c r="C2673" s="60">
        <v>220</v>
      </c>
      <c r="D2673" s="60">
        <v>0</v>
      </c>
      <c r="E2673" s="60">
        <f t="shared" si="41"/>
        <v>0</v>
      </c>
    </row>
    <row r="2674" spans="1:5" x14ac:dyDescent="0.25">
      <c r="A2674" s="60">
        <v>341</v>
      </c>
      <c r="B2674" s="60" t="s">
        <v>117</v>
      </c>
      <c r="C2674" s="60">
        <v>230</v>
      </c>
      <c r="D2674" s="60">
        <v>0</v>
      </c>
      <c r="E2674" s="60">
        <f t="shared" si="41"/>
        <v>0</v>
      </c>
    </row>
    <row r="2675" spans="1:5" x14ac:dyDescent="0.25">
      <c r="A2675" s="60">
        <v>341</v>
      </c>
      <c r="B2675" s="60" t="s">
        <v>117</v>
      </c>
      <c r="C2675" s="60">
        <v>298</v>
      </c>
      <c r="D2675" s="60">
        <v>0</v>
      </c>
      <c r="E2675" s="60">
        <f t="shared" si="41"/>
        <v>0</v>
      </c>
    </row>
    <row r="2676" spans="1:5" x14ac:dyDescent="0.25">
      <c r="A2676" s="60">
        <v>341</v>
      </c>
      <c r="B2676" s="60" t="s">
        <v>118</v>
      </c>
      <c r="C2676" s="60">
        <v>1</v>
      </c>
      <c r="D2676" s="60">
        <v>2882127</v>
      </c>
      <c r="E2676" s="60">
        <f t="shared" si="41"/>
        <v>2882127</v>
      </c>
    </row>
    <row r="2677" spans="1:5" x14ac:dyDescent="0.25">
      <c r="A2677" s="60">
        <v>341</v>
      </c>
      <c r="B2677" s="60" t="s">
        <v>118</v>
      </c>
      <c r="C2677" s="60">
        <v>10</v>
      </c>
      <c r="D2677" s="60">
        <v>2647560</v>
      </c>
      <c r="E2677" s="60">
        <f t="shared" si="41"/>
        <v>2647560</v>
      </c>
    </row>
    <row r="2678" spans="1:5" x14ac:dyDescent="0.25">
      <c r="A2678" s="60">
        <v>341</v>
      </c>
      <c r="B2678" s="60" t="s">
        <v>118</v>
      </c>
      <c r="C2678" s="60">
        <v>20</v>
      </c>
      <c r="D2678" s="60">
        <v>0</v>
      </c>
      <c r="E2678" s="60">
        <f t="shared" si="41"/>
        <v>0</v>
      </c>
    </row>
    <row r="2679" spans="1:5" x14ac:dyDescent="0.25">
      <c r="A2679" s="60">
        <v>341</v>
      </c>
      <c r="B2679" s="60" t="s">
        <v>118</v>
      </c>
      <c r="C2679" s="60">
        <v>50</v>
      </c>
      <c r="D2679" s="60">
        <v>0</v>
      </c>
      <c r="E2679" s="60">
        <f t="shared" si="41"/>
        <v>0</v>
      </c>
    </row>
    <row r="2680" spans="1:5" x14ac:dyDescent="0.25">
      <c r="A2680" s="60">
        <v>341</v>
      </c>
      <c r="B2680" s="60" t="s">
        <v>118</v>
      </c>
      <c r="C2680" s="60">
        <v>70</v>
      </c>
      <c r="D2680" s="60">
        <v>0</v>
      </c>
      <c r="E2680" s="60">
        <f t="shared" si="41"/>
        <v>0</v>
      </c>
    </row>
    <row r="2681" spans="1:5" x14ac:dyDescent="0.25">
      <c r="A2681" s="60">
        <v>341</v>
      </c>
      <c r="B2681" s="60" t="s">
        <v>118</v>
      </c>
      <c r="C2681" s="60">
        <v>100</v>
      </c>
      <c r="D2681" s="60">
        <v>0</v>
      </c>
      <c r="E2681" s="60">
        <f t="shared" si="41"/>
        <v>0</v>
      </c>
    </row>
    <row r="2682" spans="1:5" x14ac:dyDescent="0.25">
      <c r="A2682" s="60">
        <v>341</v>
      </c>
      <c r="B2682" s="60" t="s">
        <v>118</v>
      </c>
      <c r="C2682" s="60">
        <v>110</v>
      </c>
      <c r="D2682" s="60">
        <v>0</v>
      </c>
      <c r="E2682" s="60">
        <f t="shared" si="41"/>
        <v>0</v>
      </c>
    </row>
    <row r="2683" spans="1:5" x14ac:dyDescent="0.25">
      <c r="A2683" s="60">
        <v>341</v>
      </c>
      <c r="B2683" s="60" t="s">
        <v>118</v>
      </c>
      <c r="C2683" s="60">
        <v>120</v>
      </c>
      <c r="D2683" s="60">
        <v>0</v>
      </c>
      <c r="E2683" s="60">
        <f t="shared" si="41"/>
        <v>0</v>
      </c>
    </row>
    <row r="2684" spans="1:5" x14ac:dyDescent="0.25">
      <c r="A2684" s="60">
        <v>341</v>
      </c>
      <c r="B2684" s="60" t="s">
        <v>118</v>
      </c>
      <c r="C2684" s="60">
        <v>130</v>
      </c>
      <c r="D2684" s="60">
        <v>3266900</v>
      </c>
      <c r="E2684" s="60">
        <f t="shared" si="41"/>
        <v>-3266900</v>
      </c>
    </row>
    <row r="2685" spans="1:5" x14ac:dyDescent="0.25">
      <c r="A2685" s="60">
        <v>341</v>
      </c>
      <c r="B2685" s="60" t="s">
        <v>118</v>
      </c>
      <c r="C2685" s="60">
        <v>140</v>
      </c>
      <c r="D2685" s="60">
        <v>0</v>
      </c>
      <c r="E2685" s="60">
        <f t="shared" si="41"/>
        <v>0</v>
      </c>
    </row>
    <row r="2686" spans="1:5" x14ac:dyDescent="0.25">
      <c r="A2686" s="60">
        <v>341</v>
      </c>
      <c r="B2686" s="60" t="s">
        <v>118</v>
      </c>
      <c r="C2686" s="60">
        <v>141</v>
      </c>
      <c r="D2686" s="60">
        <v>2072040</v>
      </c>
      <c r="E2686" s="60">
        <f t="shared" si="41"/>
        <v>-2072040</v>
      </c>
    </row>
    <row r="2687" spans="1:5" x14ac:dyDescent="0.25">
      <c r="A2687" s="60">
        <v>341</v>
      </c>
      <c r="B2687" s="60" t="s">
        <v>118</v>
      </c>
      <c r="C2687" s="60">
        <v>200</v>
      </c>
      <c r="D2687" s="60">
        <v>13238</v>
      </c>
      <c r="E2687" s="60">
        <f t="shared" si="41"/>
        <v>-13238</v>
      </c>
    </row>
    <row r="2688" spans="1:5" x14ac:dyDescent="0.25">
      <c r="A2688" s="60">
        <v>341</v>
      </c>
      <c r="B2688" s="60" t="s">
        <v>118</v>
      </c>
      <c r="C2688" s="60">
        <v>210</v>
      </c>
      <c r="D2688" s="60">
        <v>0</v>
      </c>
      <c r="E2688" s="60">
        <f t="shared" si="41"/>
        <v>0</v>
      </c>
    </row>
    <row r="2689" spans="1:5" x14ac:dyDescent="0.25">
      <c r="A2689" s="60">
        <v>341</v>
      </c>
      <c r="B2689" s="60" t="s">
        <v>118</v>
      </c>
      <c r="C2689" s="60">
        <v>220</v>
      </c>
      <c r="D2689" s="60">
        <v>0</v>
      </c>
      <c r="E2689" s="60">
        <f t="shared" si="41"/>
        <v>0</v>
      </c>
    </row>
    <row r="2690" spans="1:5" x14ac:dyDescent="0.25">
      <c r="A2690" s="60">
        <v>341</v>
      </c>
      <c r="B2690" s="60" t="s">
        <v>118</v>
      </c>
      <c r="C2690" s="60">
        <v>230</v>
      </c>
      <c r="D2690" s="60">
        <v>36289</v>
      </c>
      <c r="E2690" s="60">
        <f t="shared" ref="E2690:E2753" si="42">IF(C2690&lt;100,D2690,D2690*-1)</f>
        <v>-36289</v>
      </c>
    </row>
    <row r="2691" spans="1:5" x14ac:dyDescent="0.25">
      <c r="A2691" s="60">
        <v>341</v>
      </c>
      <c r="B2691" s="60" t="s">
        <v>118</v>
      </c>
      <c r="C2691" s="60">
        <v>298</v>
      </c>
      <c r="D2691" s="60">
        <v>0</v>
      </c>
      <c r="E2691" s="60">
        <f t="shared" si="42"/>
        <v>0</v>
      </c>
    </row>
    <row r="2692" spans="1:5" x14ac:dyDescent="0.25">
      <c r="A2692" s="60">
        <v>341</v>
      </c>
      <c r="B2692" s="60" t="s">
        <v>119</v>
      </c>
      <c r="C2692" s="60">
        <v>1</v>
      </c>
      <c r="D2692" s="60">
        <v>11536445</v>
      </c>
      <c r="E2692" s="60">
        <f t="shared" si="42"/>
        <v>11536445</v>
      </c>
    </row>
    <row r="2693" spans="1:5" x14ac:dyDescent="0.25">
      <c r="A2693" s="60">
        <v>341</v>
      </c>
      <c r="B2693" s="60" t="s">
        <v>119</v>
      </c>
      <c r="C2693" s="60">
        <v>10</v>
      </c>
      <c r="D2693" s="60">
        <v>33727600</v>
      </c>
      <c r="E2693" s="60">
        <f t="shared" si="42"/>
        <v>33727600</v>
      </c>
    </row>
    <row r="2694" spans="1:5" x14ac:dyDescent="0.25">
      <c r="A2694" s="60">
        <v>341</v>
      </c>
      <c r="B2694" s="60" t="s">
        <v>119</v>
      </c>
      <c r="C2694" s="60">
        <v>20</v>
      </c>
      <c r="D2694" s="60">
        <v>21300</v>
      </c>
      <c r="E2694" s="60">
        <f t="shared" si="42"/>
        <v>21300</v>
      </c>
    </row>
    <row r="2695" spans="1:5" x14ac:dyDescent="0.25">
      <c r="A2695" s="60">
        <v>341</v>
      </c>
      <c r="B2695" s="60" t="s">
        <v>119</v>
      </c>
      <c r="C2695" s="60">
        <v>50</v>
      </c>
      <c r="D2695" s="60">
        <v>134680</v>
      </c>
      <c r="E2695" s="60">
        <f t="shared" si="42"/>
        <v>134680</v>
      </c>
    </row>
    <row r="2696" spans="1:5" x14ac:dyDescent="0.25">
      <c r="A2696" s="60">
        <v>341</v>
      </c>
      <c r="B2696" s="60" t="s">
        <v>119</v>
      </c>
      <c r="C2696" s="60">
        <v>70</v>
      </c>
      <c r="D2696" s="60">
        <v>145015</v>
      </c>
      <c r="E2696" s="60">
        <f t="shared" si="42"/>
        <v>145015</v>
      </c>
    </row>
    <row r="2697" spans="1:5" x14ac:dyDescent="0.25">
      <c r="A2697" s="60">
        <v>341</v>
      </c>
      <c r="B2697" s="60" t="s">
        <v>119</v>
      </c>
      <c r="C2697" s="60">
        <v>110</v>
      </c>
      <c r="D2697" s="60">
        <v>23595440</v>
      </c>
      <c r="E2697" s="60">
        <f t="shared" si="42"/>
        <v>-23595440</v>
      </c>
    </row>
    <row r="2698" spans="1:5" x14ac:dyDescent="0.25">
      <c r="A2698" s="60">
        <v>341</v>
      </c>
      <c r="B2698" s="60" t="s">
        <v>119</v>
      </c>
      <c r="C2698" s="60">
        <v>120</v>
      </c>
      <c r="D2698" s="60">
        <v>0</v>
      </c>
      <c r="E2698" s="60">
        <f t="shared" si="42"/>
        <v>0</v>
      </c>
    </row>
    <row r="2699" spans="1:5" x14ac:dyDescent="0.25">
      <c r="A2699" s="60">
        <v>341</v>
      </c>
      <c r="B2699" s="60" t="s">
        <v>119</v>
      </c>
      <c r="C2699" s="60">
        <v>130</v>
      </c>
      <c r="D2699" s="60">
        <v>0</v>
      </c>
      <c r="E2699" s="60">
        <f t="shared" si="42"/>
        <v>0</v>
      </c>
    </row>
    <row r="2700" spans="1:5" x14ac:dyDescent="0.25">
      <c r="A2700" s="60">
        <v>341</v>
      </c>
      <c r="B2700" s="60" t="s">
        <v>119</v>
      </c>
      <c r="C2700" s="60">
        <v>140</v>
      </c>
      <c r="D2700" s="60">
        <v>795740</v>
      </c>
      <c r="E2700" s="60">
        <f t="shared" si="42"/>
        <v>-795740</v>
      </c>
    </row>
    <row r="2701" spans="1:5" x14ac:dyDescent="0.25">
      <c r="A2701" s="60">
        <v>341</v>
      </c>
      <c r="B2701" s="60" t="s">
        <v>119</v>
      </c>
      <c r="C2701" s="60">
        <v>141</v>
      </c>
      <c r="D2701" s="60">
        <v>9792360</v>
      </c>
      <c r="E2701" s="60">
        <f t="shared" si="42"/>
        <v>-9792360</v>
      </c>
    </row>
    <row r="2702" spans="1:5" x14ac:dyDescent="0.25">
      <c r="A2702" s="60">
        <v>341</v>
      </c>
      <c r="B2702" s="60" t="s">
        <v>119</v>
      </c>
      <c r="C2702" s="60">
        <v>200</v>
      </c>
      <c r="D2702" s="60">
        <v>168515</v>
      </c>
      <c r="E2702" s="60">
        <f t="shared" si="42"/>
        <v>-168515</v>
      </c>
    </row>
    <row r="2703" spans="1:5" x14ac:dyDescent="0.25">
      <c r="A2703" s="60">
        <v>341</v>
      </c>
      <c r="B2703" s="60" t="s">
        <v>119</v>
      </c>
      <c r="C2703" s="60">
        <v>210</v>
      </c>
      <c r="D2703" s="60">
        <v>32157</v>
      </c>
      <c r="E2703" s="60">
        <f t="shared" si="42"/>
        <v>-32157</v>
      </c>
    </row>
    <row r="2704" spans="1:5" x14ac:dyDescent="0.25">
      <c r="A2704" s="60">
        <v>341</v>
      </c>
      <c r="B2704" s="60" t="s">
        <v>119</v>
      </c>
      <c r="C2704" s="60">
        <v>220</v>
      </c>
      <c r="D2704" s="60">
        <v>0</v>
      </c>
      <c r="E2704" s="60">
        <f t="shared" si="42"/>
        <v>0</v>
      </c>
    </row>
    <row r="2705" spans="1:5" x14ac:dyDescent="0.25">
      <c r="A2705" s="60">
        <v>341</v>
      </c>
      <c r="B2705" s="60" t="s">
        <v>119</v>
      </c>
      <c r="C2705" s="60">
        <v>230</v>
      </c>
      <c r="D2705" s="60">
        <v>91309</v>
      </c>
      <c r="E2705" s="60">
        <f t="shared" si="42"/>
        <v>-91309</v>
      </c>
    </row>
    <row r="2706" spans="1:5" x14ac:dyDescent="0.25">
      <c r="A2706" s="60">
        <v>341</v>
      </c>
      <c r="B2706" s="60" t="s">
        <v>119</v>
      </c>
      <c r="C2706" s="60">
        <v>270</v>
      </c>
      <c r="D2706" s="60">
        <v>0</v>
      </c>
      <c r="E2706" s="60">
        <f t="shared" si="42"/>
        <v>0</v>
      </c>
    </row>
    <row r="2707" spans="1:5" x14ac:dyDescent="0.25">
      <c r="A2707" s="60">
        <v>341</v>
      </c>
      <c r="B2707" s="60" t="s">
        <v>119</v>
      </c>
      <c r="C2707" s="60">
        <v>298</v>
      </c>
      <c r="D2707" s="60">
        <v>0</v>
      </c>
      <c r="E2707" s="60">
        <f t="shared" si="42"/>
        <v>0</v>
      </c>
    </row>
    <row r="2708" spans="1:5" x14ac:dyDescent="0.25">
      <c r="A2708" s="60">
        <v>341</v>
      </c>
      <c r="B2708" s="60" t="s">
        <v>120</v>
      </c>
      <c r="C2708" s="60">
        <v>1</v>
      </c>
      <c r="D2708" s="60">
        <v>25487446</v>
      </c>
      <c r="E2708" s="60">
        <f t="shared" si="42"/>
        <v>25487446</v>
      </c>
    </row>
    <row r="2709" spans="1:5" x14ac:dyDescent="0.25">
      <c r="A2709" s="60">
        <v>341</v>
      </c>
      <c r="B2709" s="60" t="s">
        <v>120</v>
      </c>
      <c r="C2709" s="60">
        <v>10</v>
      </c>
      <c r="D2709" s="60">
        <v>36691540</v>
      </c>
      <c r="E2709" s="60">
        <f t="shared" si="42"/>
        <v>36691540</v>
      </c>
    </row>
    <row r="2710" spans="1:5" x14ac:dyDescent="0.25">
      <c r="A2710" s="60">
        <v>341</v>
      </c>
      <c r="B2710" s="60" t="s">
        <v>120</v>
      </c>
      <c r="C2710" s="60">
        <v>20</v>
      </c>
      <c r="D2710" s="60">
        <v>0</v>
      </c>
      <c r="E2710" s="60">
        <f t="shared" si="42"/>
        <v>0</v>
      </c>
    </row>
    <row r="2711" spans="1:5" x14ac:dyDescent="0.25">
      <c r="A2711" s="60">
        <v>341</v>
      </c>
      <c r="B2711" s="60" t="s">
        <v>120</v>
      </c>
      <c r="C2711" s="60">
        <v>50</v>
      </c>
      <c r="D2711" s="60">
        <v>0</v>
      </c>
      <c r="E2711" s="60">
        <f t="shared" si="42"/>
        <v>0</v>
      </c>
    </row>
    <row r="2712" spans="1:5" x14ac:dyDescent="0.25">
      <c r="A2712" s="60">
        <v>341</v>
      </c>
      <c r="B2712" s="60" t="s">
        <v>120</v>
      </c>
      <c r="C2712" s="60">
        <v>70</v>
      </c>
      <c r="D2712" s="60">
        <v>0</v>
      </c>
      <c r="E2712" s="60">
        <f t="shared" si="42"/>
        <v>0</v>
      </c>
    </row>
    <row r="2713" spans="1:5" x14ac:dyDescent="0.25">
      <c r="A2713" s="60">
        <v>341</v>
      </c>
      <c r="B2713" s="60" t="s">
        <v>120</v>
      </c>
      <c r="C2713" s="60">
        <v>100</v>
      </c>
      <c r="D2713" s="60">
        <v>0</v>
      </c>
      <c r="E2713" s="60">
        <f t="shared" si="42"/>
        <v>0</v>
      </c>
    </row>
    <row r="2714" spans="1:5" x14ac:dyDescent="0.25">
      <c r="A2714" s="60">
        <v>341</v>
      </c>
      <c r="B2714" s="60" t="s">
        <v>120</v>
      </c>
      <c r="C2714" s="60">
        <v>110</v>
      </c>
      <c r="D2714" s="60">
        <v>16672400</v>
      </c>
      <c r="E2714" s="60">
        <f t="shared" si="42"/>
        <v>-16672400</v>
      </c>
    </row>
    <row r="2715" spans="1:5" x14ac:dyDescent="0.25">
      <c r="A2715" s="60">
        <v>341</v>
      </c>
      <c r="B2715" s="60" t="s">
        <v>120</v>
      </c>
      <c r="C2715" s="60">
        <v>120</v>
      </c>
      <c r="D2715" s="60">
        <v>2160</v>
      </c>
      <c r="E2715" s="60">
        <f t="shared" si="42"/>
        <v>-2160</v>
      </c>
    </row>
    <row r="2716" spans="1:5" x14ac:dyDescent="0.25">
      <c r="A2716" s="60">
        <v>341</v>
      </c>
      <c r="B2716" s="60" t="s">
        <v>120</v>
      </c>
      <c r="C2716" s="60">
        <v>130</v>
      </c>
      <c r="D2716" s="60">
        <v>99080</v>
      </c>
      <c r="E2716" s="60">
        <f t="shared" si="42"/>
        <v>-99080</v>
      </c>
    </row>
    <row r="2717" spans="1:5" x14ac:dyDescent="0.25">
      <c r="A2717" s="60">
        <v>341</v>
      </c>
      <c r="B2717" s="60" t="s">
        <v>120</v>
      </c>
      <c r="C2717" s="60">
        <v>140</v>
      </c>
      <c r="D2717" s="60">
        <v>111140</v>
      </c>
      <c r="E2717" s="60">
        <f t="shared" si="42"/>
        <v>-111140</v>
      </c>
    </row>
    <row r="2718" spans="1:5" x14ac:dyDescent="0.25">
      <c r="A2718" s="60">
        <v>341</v>
      </c>
      <c r="B2718" s="60" t="s">
        <v>120</v>
      </c>
      <c r="C2718" s="60">
        <v>141</v>
      </c>
      <c r="D2718" s="60">
        <v>30296940</v>
      </c>
      <c r="E2718" s="60">
        <f t="shared" si="42"/>
        <v>-30296940</v>
      </c>
    </row>
    <row r="2719" spans="1:5" x14ac:dyDescent="0.25">
      <c r="A2719" s="60">
        <v>341</v>
      </c>
      <c r="B2719" s="60" t="s">
        <v>120</v>
      </c>
      <c r="C2719" s="60">
        <v>200</v>
      </c>
      <c r="D2719" s="60">
        <v>365709</v>
      </c>
      <c r="E2719" s="60">
        <f t="shared" si="42"/>
        <v>-365709</v>
      </c>
    </row>
    <row r="2720" spans="1:5" x14ac:dyDescent="0.25">
      <c r="A2720" s="60">
        <v>341</v>
      </c>
      <c r="B2720" s="60" t="s">
        <v>120</v>
      </c>
      <c r="C2720" s="60">
        <v>210</v>
      </c>
      <c r="D2720" s="60">
        <v>29</v>
      </c>
      <c r="E2720" s="60">
        <f t="shared" si="42"/>
        <v>-29</v>
      </c>
    </row>
    <row r="2721" spans="1:5" x14ac:dyDescent="0.25">
      <c r="A2721" s="60">
        <v>341</v>
      </c>
      <c r="B2721" s="60" t="s">
        <v>120</v>
      </c>
      <c r="C2721" s="60">
        <v>220</v>
      </c>
      <c r="D2721" s="60">
        <v>225966</v>
      </c>
      <c r="E2721" s="60">
        <f t="shared" si="42"/>
        <v>-225966</v>
      </c>
    </row>
    <row r="2722" spans="1:5" x14ac:dyDescent="0.25">
      <c r="A2722" s="60">
        <v>341</v>
      </c>
      <c r="B2722" s="60" t="s">
        <v>120</v>
      </c>
      <c r="C2722" s="60">
        <v>230</v>
      </c>
      <c r="D2722" s="60">
        <v>54142</v>
      </c>
      <c r="E2722" s="60">
        <f t="shared" si="42"/>
        <v>-54142</v>
      </c>
    </row>
    <row r="2723" spans="1:5" x14ac:dyDescent="0.25">
      <c r="A2723" s="60">
        <v>341</v>
      </c>
      <c r="B2723" s="60" t="s">
        <v>120</v>
      </c>
      <c r="C2723" s="60">
        <v>298</v>
      </c>
      <c r="D2723" s="60">
        <v>0</v>
      </c>
      <c r="E2723" s="60">
        <f t="shared" si="42"/>
        <v>0</v>
      </c>
    </row>
    <row r="2724" spans="1:5" x14ac:dyDescent="0.25">
      <c r="A2724" s="60">
        <v>341</v>
      </c>
      <c r="B2724" s="60" t="s">
        <v>121</v>
      </c>
      <c r="C2724" s="60">
        <v>1</v>
      </c>
      <c r="D2724" s="60">
        <v>0</v>
      </c>
      <c r="E2724" s="60">
        <f t="shared" si="42"/>
        <v>0</v>
      </c>
    </row>
    <row r="2725" spans="1:5" x14ac:dyDescent="0.25">
      <c r="A2725" s="60">
        <v>341</v>
      </c>
      <c r="B2725" s="60" t="s">
        <v>121</v>
      </c>
      <c r="C2725" s="60">
        <v>10</v>
      </c>
      <c r="D2725" s="60">
        <v>320980</v>
      </c>
      <c r="E2725" s="60">
        <f t="shared" si="42"/>
        <v>320980</v>
      </c>
    </row>
    <row r="2726" spans="1:5" x14ac:dyDescent="0.25">
      <c r="A2726" s="60">
        <v>341</v>
      </c>
      <c r="B2726" s="60" t="s">
        <v>121</v>
      </c>
      <c r="C2726" s="60">
        <v>20</v>
      </c>
      <c r="D2726" s="60">
        <v>0</v>
      </c>
      <c r="E2726" s="60">
        <f t="shared" si="42"/>
        <v>0</v>
      </c>
    </row>
    <row r="2727" spans="1:5" x14ac:dyDescent="0.25">
      <c r="A2727" s="60">
        <v>341</v>
      </c>
      <c r="B2727" s="60" t="s">
        <v>121</v>
      </c>
      <c r="C2727" s="60">
        <v>50</v>
      </c>
      <c r="D2727" s="60">
        <v>0</v>
      </c>
      <c r="E2727" s="60">
        <f t="shared" si="42"/>
        <v>0</v>
      </c>
    </row>
    <row r="2728" spans="1:5" x14ac:dyDescent="0.25">
      <c r="A2728" s="60">
        <v>341</v>
      </c>
      <c r="B2728" s="60" t="s">
        <v>121</v>
      </c>
      <c r="C2728" s="60">
        <v>70</v>
      </c>
      <c r="D2728" s="60">
        <v>0</v>
      </c>
      <c r="E2728" s="60">
        <f t="shared" si="42"/>
        <v>0</v>
      </c>
    </row>
    <row r="2729" spans="1:5" x14ac:dyDescent="0.25">
      <c r="A2729" s="60">
        <v>341</v>
      </c>
      <c r="B2729" s="60" t="s">
        <v>121</v>
      </c>
      <c r="C2729" s="60">
        <v>110</v>
      </c>
      <c r="D2729" s="60">
        <v>294580</v>
      </c>
      <c r="E2729" s="60">
        <f t="shared" si="42"/>
        <v>-294580</v>
      </c>
    </row>
    <row r="2730" spans="1:5" x14ac:dyDescent="0.25">
      <c r="A2730" s="60">
        <v>341</v>
      </c>
      <c r="B2730" s="60" t="s">
        <v>121</v>
      </c>
      <c r="C2730" s="60">
        <v>130</v>
      </c>
      <c r="D2730" s="60">
        <v>0</v>
      </c>
      <c r="E2730" s="60">
        <f t="shared" si="42"/>
        <v>0</v>
      </c>
    </row>
    <row r="2731" spans="1:5" x14ac:dyDescent="0.25">
      <c r="A2731" s="60">
        <v>341</v>
      </c>
      <c r="B2731" s="60" t="s">
        <v>121</v>
      </c>
      <c r="C2731" s="60">
        <v>140</v>
      </c>
      <c r="D2731" s="60">
        <v>0</v>
      </c>
      <c r="E2731" s="60">
        <f t="shared" si="42"/>
        <v>0</v>
      </c>
    </row>
    <row r="2732" spans="1:5" x14ac:dyDescent="0.25">
      <c r="A2732" s="60">
        <v>341</v>
      </c>
      <c r="B2732" s="60" t="s">
        <v>121</v>
      </c>
      <c r="C2732" s="60">
        <v>200</v>
      </c>
      <c r="D2732" s="60">
        <v>0</v>
      </c>
      <c r="E2732" s="60">
        <f t="shared" si="42"/>
        <v>0</v>
      </c>
    </row>
    <row r="2733" spans="1:5" x14ac:dyDescent="0.25">
      <c r="A2733" s="60">
        <v>341</v>
      </c>
      <c r="B2733" s="60" t="s">
        <v>121</v>
      </c>
      <c r="C2733" s="60">
        <v>210</v>
      </c>
      <c r="D2733" s="60">
        <v>12805</v>
      </c>
      <c r="E2733" s="60">
        <f t="shared" si="42"/>
        <v>-12805</v>
      </c>
    </row>
    <row r="2734" spans="1:5" x14ac:dyDescent="0.25">
      <c r="A2734" s="60">
        <v>341</v>
      </c>
      <c r="B2734" s="60" t="s">
        <v>121</v>
      </c>
      <c r="C2734" s="60">
        <v>220</v>
      </c>
      <c r="D2734" s="60">
        <v>0</v>
      </c>
      <c r="E2734" s="60">
        <f t="shared" si="42"/>
        <v>0</v>
      </c>
    </row>
    <row r="2735" spans="1:5" x14ac:dyDescent="0.25">
      <c r="A2735" s="60">
        <v>341</v>
      </c>
      <c r="B2735" s="60" t="s">
        <v>121</v>
      </c>
      <c r="C2735" s="60">
        <v>230</v>
      </c>
      <c r="D2735" s="60">
        <v>0</v>
      </c>
      <c r="E2735" s="60">
        <f t="shared" si="42"/>
        <v>0</v>
      </c>
    </row>
    <row r="2736" spans="1:5" x14ac:dyDescent="0.25">
      <c r="A2736" s="60">
        <v>351</v>
      </c>
      <c r="B2736" s="60" t="s">
        <v>117</v>
      </c>
      <c r="C2736" s="60">
        <v>1</v>
      </c>
      <c r="D2736" s="60">
        <v>9168074</v>
      </c>
      <c r="E2736" s="60">
        <f t="shared" si="42"/>
        <v>9168074</v>
      </c>
    </row>
    <row r="2737" spans="1:5" x14ac:dyDescent="0.25">
      <c r="A2737" s="60">
        <v>351</v>
      </c>
      <c r="B2737" s="60" t="s">
        <v>117</v>
      </c>
      <c r="C2737" s="60">
        <v>10</v>
      </c>
      <c r="D2737" s="60">
        <v>16712760</v>
      </c>
      <c r="E2737" s="60">
        <f t="shared" si="42"/>
        <v>16712760</v>
      </c>
    </row>
    <row r="2738" spans="1:5" x14ac:dyDescent="0.25">
      <c r="A2738" s="60">
        <v>351</v>
      </c>
      <c r="B2738" s="60" t="s">
        <v>117</v>
      </c>
      <c r="C2738" s="60">
        <v>20</v>
      </c>
      <c r="D2738" s="60">
        <v>0</v>
      </c>
      <c r="E2738" s="60">
        <f t="shared" si="42"/>
        <v>0</v>
      </c>
    </row>
    <row r="2739" spans="1:5" x14ac:dyDescent="0.25">
      <c r="A2739" s="60">
        <v>351</v>
      </c>
      <c r="B2739" s="60" t="s">
        <v>117</v>
      </c>
      <c r="C2739" s="60">
        <v>50</v>
      </c>
      <c r="D2739" s="60">
        <v>0</v>
      </c>
      <c r="E2739" s="60">
        <f t="shared" si="42"/>
        <v>0</v>
      </c>
    </row>
    <row r="2740" spans="1:5" x14ac:dyDescent="0.25">
      <c r="A2740" s="60">
        <v>351</v>
      </c>
      <c r="B2740" s="60" t="s">
        <v>117</v>
      </c>
      <c r="C2740" s="60">
        <v>60</v>
      </c>
      <c r="D2740" s="60">
        <v>0</v>
      </c>
      <c r="E2740" s="60">
        <f t="shared" si="42"/>
        <v>0</v>
      </c>
    </row>
    <row r="2741" spans="1:5" x14ac:dyDescent="0.25">
      <c r="A2741" s="60">
        <v>351</v>
      </c>
      <c r="B2741" s="60" t="s">
        <v>117</v>
      </c>
      <c r="C2741" s="60">
        <v>70</v>
      </c>
      <c r="D2741" s="60">
        <v>240000</v>
      </c>
      <c r="E2741" s="60">
        <f t="shared" si="42"/>
        <v>240000</v>
      </c>
    </row>
    <row r="2742" spans="1:5" x14ac:dyDescent="0.25">
      <c r="A2742" s="60">
        <v>351</v>
      </c>
      <c r="B2742" s="60" t="s">
        <v>117</v>
      </c>
      <c r="C2742" s="60">
        <v>110</v>
      </c>
      <c r="D2742" s="60">
        <v>3659720</v>
      </c>
      <c r="E2742" s="60">
        <f t="shared" si="42"/>
        <v>-3659720</v>
      </c>
    </row>
    <row r="2743" spans="1:5" x14ac:dyDescent="0.25">
      <c r="A2743" s="60">
        <v>351</v>
      </c>
      <c r="B2743" s="60" t="s">
        <v>117</v>
      </c>
      <c r="C2743" s="60">
        <v>120</v>
      </c>
      <c r="D2743" s="60">
        <v>0</v>
      </c>
      <c r="E2743" s="60">
        <f t="shared" si="42"/>
        <v>0</v>
      </c>
    </row>
    <row r="2744" spans="1:5" x14ac:dyDescent="0.25">
      <c r="A2744" s="60">
        <v>351</v>
      </c>
      <c r="B2744" s="60" t="s">
        <v>117</v>
      </c>
      <c r="C2744" s="60">
        <v>130</v>
      </c>
      <c r="D2744" s="60">
        <v>0</v>
      </c>
      <c r="E2744" s="60">
        <f t="shared" si="42"/>
        <v>0</v>
      </c>
    </row>
    <row r="2745" spans="1:5" x14ac:dyDescent="0.25">
      <c r="A2745" s="60">
        <v>351</v>
      </c>
      <c r="B2745" s="60" t="s">
        <v>117</v>
      </c>
      <c r="C2745" s="60">
        <v>140</v>
      </c>
      <c r="D2745" s="60">
        <v>7977800</v>
      </c>
      <c r="E2745" s="60">
        <f t="shared" si="42"/>
        <v>-7977800</v>
      </c>
    </row>
    <row r="2746" spans="1:5" x14ac:dyDescent="0.25">
      <c r="A2746" s="60">
        <v>351</v>
      </c>
      <c r="B2746" s="60" t="s">
        <v>117</v>
      </c>
      <c r="C2746" s="60">
        <v>141</v>
      </c>
      <c r="D2746" s="60">
        <v>113640</v>
      </c>
      <c r="E2746" s="60">
        <f t="shared" si="42"/>
        <v>-113640</v>
      </c>
    </row>
    <row r="2747" spans="1:5" x14ac:dyDescent="0.25">
      <c r="A2747" s="60">
        <v>351</v>
      </c>
      <c r="B2747" s="60" t="s">
        <v>117</v>
      </c>
      <c r="C2747" s="60">
        <v>200</v>
      </c>
      <c r="D2747" s="60">
        <v>79823</v>
      </c>
      <c r="E2747" s="60">
        <f t="shared" si="42"/>
        <v>-79823</v>
      </c>
    </row>
    <row r="2748" spans="1:5" x14ac:dyDescent="0.25">
      <c r="A2748" s="60">
        <v>351</v>
      </c>
      <c r="B2748" s="60" t="s">
        <v>117</v>
      </c>
      <c r="C2748" s="60">
        <v>210</v>
      </c>
      <c r="D2748" s="60">
        <v>136096</v>
      </c>
      <c r="E2748" s="60">
        <f t="shared" si="42"/>
        <v>-136096</v>
      </c>
    </row>
    <row r="2749" spans="1:5" x14ac:dyDescent="0.25">
      <c r="A2749" s="60">
        <v>351</v>
      </c>
      <c r="B2749" s="60" t="s">
        <v>117</v>
      </c>
      <c r="C2749" s="60">
        <v>230</v>
      </c>
      <c r="D2749" s="60">
        <v>0</v>
      </c>
      <c r="E2749" s="60">
        <f t="shared" si="42"/>
        <v>0</v>
      </c>
    </row>
    <row r="2750" spans="1:5" x14ac:dyDescent="0.25">
      <c r="A2750" s="60">
        <v>351</v>
      </c>
      <c r="B2750" s="60" t="s">
        <v>117</v>
      </c>
      <c r="C2750" s="60">
        <v>270</v>
      </c>
      <c r="D2750" s="60">
        <v>0</v>
      </c>
      <c r="E2750" s="60">
        <f t="shared" si="42"/>
        <v>0</v>
      </c>
    </row>
    <row r="2751" spans="1:5" x14ac:dyDescent="0.25">
      <c r="A2751" s="60">
        <v>351</v>
      </c>
      <c r="B2751" s="60" t="s">
        <v>117</v>
      </c>
      <c r="C2751" s="60">
        <v>298</v>
      </c>
      <c r="D2751" s="60">
        <v>0</v>
      </c>
      <c r="E2751" s="60">
        <f t="shared" si="42"/>
        <v>0</v>
      </c>
    </row>
    <row r="2752" spans="1:5" x14ac:dyDescent="0.25">
      <c r="A2752" s="60">
        <v>351</v>
      </c>
      <c r="B2752" s="60" t="s">
        <v>118</v>
      </c>
      <c r="C2752" s="60">
        <v>1</v>
      </c>
      <c r="D2752" s="60">
        <v>2447209</v>
      </c>
      <c r="E2752" s="60">
        <f t="shared" si="42"/>
        <v>2447209</v>
      </c>
    </row>
    <row r="2753" spans="1:5" x14ac:dyDescent="0.25">
      <c r="A2753" s="60">
        <v>351</v>
      </c>
      <c r="B2753" s="60" t="s">
        <v>118</v>
      </c>
      <c r="C2753" s="60">
        <v>10</v>
      </c>
      <c r="D2753" s="60">
        <v>4903980</v>
      </c>
      <c r="E2753" s="60">
        <f t="shared" si="42"/>
        <v>4903980</v>
      </c>
    </row>
    <row r="2754" spans="1:5" x14ac:dyDescent="0.25">
      <c r="A2754" s="60">
        <v>351</v>
      </c>
      <c r="B2754" s="60" t="s">
        <v>118</v>
      </c>
      <c r="C2754" s="60">
        <v>20</v>
      </c>
      <c r="D2754" s="60">
        <v>0</v>
      </c>
      <c r="E2754" s="60">
        <f t="shared" ref="E2754:E2817" si="43">IF(C2754&lt;100,D2754,D2754*-1)</f>
        <v>0</v>
      </c>
    </row>
    <row r="2755" spans="1:5" x14ac:dyDescent="0.25">
      <c r="A2755" s="60">
        <v>351</v>
      </c>
      <c r="B2755" s="60" t="s">
        <v>118</v>
      </c>
      <c r="C2755" s="60">
        <v>50</v>
      </c>
      <c r="D2755" s="60">
        <v>0</v>
      </c>
      <c r="E2755" s="60">
        <f t="shared" si="43"/>
        <v>0</v>
      </c>
    </row>
    <row r="2756" spans="1:5" x14ac:dyDescent="0.25">
      <c r="A2756" s="60">
        <v>351</v>
      </c>
      <c r="B2756" s="60" t="s">
        <v>118</v>
      </c>
      <c r="C2756" s="60">
        <v>70</v>
      </c>
      <c r="D2756" s="60">
        <v>0</v>
      </c>
      <c r="E2756" s="60">
        <f t="shared" si="43"/>
        <v>0</v>
      </c>
    </row>
    <row r="2757" spans="1:5" x14ac:dyDescent="0.25">
      <c r="A2757" s="60">
        <v>351</v>
      </c>
      <c r="B2757" s="60" t="s">
        <v>118</v>
      </c>
      <c r="C2757" s="60">
        <v>110</v>
      </c>
      <c r="D2757" s="60">
        <v>0</v>
      </c>
      <c r="E2757" s="60">
        <f t="shared" si="43"/>
        <v>0</v>
      </c>
    </row>
    <row r="2758" spans="1:5" x14ac:dyDescent="0.25">
      <c r="A2758" s="60">
        <v>351</v>
      </c>
      <c r="B2758" s="60" t="s">
        <v>118</v>
      </c>
      <c r="C2758" s="60">
        <v>120</v>
      </c>
      <c r="D2758" s="60">
        <v>0</v>
      </c>
      <c r="E2758" s="60">
        <f t="shared" si="43"/>
        <v>0</v>
      </c>
    </row>
    <row r="2759" spans="1:5" x14ac:dyDescent="0.25">
      <c r="A2759" s="60">
        <v>351</v>
      </c>
      <c r="B2759" s="60" t="s">
        <v>118</v>
      </c>
      <c r="C2759" s="60">
        <v>130</v>
      </c>
      <c r="D2759" s="60">
        <v>0</v>
      </c>
      <c r="E2759" s="60">
        <f t="shared" si="43"/>
        <v>0</v>
      </c>
    </row>
    <row r="2760" spans="1:5" x14ac:dyDescent="0.25">
      <c r="A2760" s="60">
        <v>351</v>
      </c>
      <c r="B2760" s="60" t="s">
        <v>118</v>
      </c>
      <c r="C2760" s="60">
        <v>140</v>
      </c>
      <c r="D2760" s="60">
        <v>0</v>
      </c>
      <c r="E2760" s="60">
        <f t="shared" si="43"/>
        <v>0</v>
      </c>
    </row>
    <row r="2761" spans="1:5" x14ac:dyDescent="0.25">
      <c r="A2761" s="60">
        <v>351</v>
      </c>
      <c r="B2761" s="60" t="s">
        <v>118</v>
      </c>
      <c r="C2761" s="60">
        <v>141</v>
      </c>
      <c r="D2761" s="60">
        <v>6795940</v>
      </c>
      <c r="E2761" s="60">
        <f t="shared" si="43"/>
        <v>-6795940</v>
      </c>
    </row>
    <row r="2762" spans="1:5" x14ac:dyDescent="0.25">
      <c r="A2762" s="60">
        <v>351</v>
      </c>
      <c r="B2762" s="60" t="s">
        <v>118</v>
      </c>
      <c r="C2762" s="60">
        <v>200</v>
      </c>
      <c r="D2762" s="60">
        <v>24478</v>
      </c>
      <c r="E2762" s="60">
        <f t="shared" si="43"/>
        <v>-24478</v>
      </c>
    </row>
    <row r="2763" spans="1:5" x14ac:dyDescent="0.25">
      <c r="A2763" s="60">
        <v>351</v>
      </c>
      <c r="B2763" s="60" t="s">
        <v>118</v>
      </c>
      <c r="C2763" s="60">
        <v>210</v>
      </c>
      <c r="D2763" s="60">
        <v>0</v>
      </c>
      <c r="E2763" s="60">
        <f t="shared" si="43"/>
        <v>0</v>
      </c>
    </row>
    <row r="2764" spans="1:5" x14ac:dyDescent="0.25">
      <c r="A2764" s="60">
        <v>351</v>
      </c>
      <c r="B2764" s="60" t="s">
        <v>118</v>
      </c>
      <c r="C2764" s="60">
        <v>230</v>
      </c>
      <c r="D2764" s="60">
        <v>116030</v>
      </c>
      <c r="E2764" s="60">
        <f t="shared" si="43"/>
        <v>-116030</v>
      </c>
    </row>
    <row r="2765" spans="1:5" x14ac:dyDescent="0.25">
      <c r="A2765" s="60">
        <v>351</v>
      </c>
      <c r="B2765" s="60" t="s">
        <v>118</v>
      </c>
      <c r="C2765" s="60">
        <v>298</v>
      </c>
      <c r="D2765" s="60">
        <v>0</v>
      </c>
      <c r="E2765" s="60">
        <f t="shared" si="43"/>
        <v>0</v>
      </c>
    </row>
    <row r="2766" spans="1:5" x14ac:dyDescent="0.25">
      <c r="A2766" s="60">
        <v>351</v>
      </c>
      <c r="B2766" s="60" t="s">
        <v>119</v>
      </c>
      <c r="C2766" s="60">
        <v>1</v>
      </c>
      <c r="D2766" s="60">
        <v>4398648</v>
      </c>
      <c r="E2766" s="60">
        <f t="shared" si="43"/>
        <v>4398648</v>
      </c>
    </row>
    <row r="2767" spans="1:5" x14ac:dyDescent="0.25">
      <c r="A2767" s="60">
        <v>351</v>
      </c>
      <c r="B2767" s="60" t="s">
        <v>119</v>
      </c>
      <c r="C2767" s="60">
        <v>10</v>
      </c>
      <c r="D2767" s="60">
        <v>6185460</v>
      </c>
      <c r="E2767" s="60">
        <f t="shared" si="43"/>
        <v>6185460</v>
      </c>
    </row>
    <row r="2768" spans="1:5" x14ac:dyDescent="0.25">
      <c r="A2768" s="60">
        <v>351</v>
      </c>
      <c r="B2768" s="60" t="s">
        <v>119</v>
      </c>
      <c r="C2768" s="60">
        <v>20</v>
      </c>
      <c r="D2768" s="60">
        <v>38072</v>
      </c>
      <c r="E2768" s="60">
        <f t="shared" si="43"/>
        <v>38072</v>
      </c>
    </row>
    <row r="2769" spans="1:5" x14ac:dyDescent="0.25">
      <c r="A2769" s="60">
        <v>351</v>
      </c>
      <c r="B2769" s="60" t="s">
        <v>119</v>
      </c>
      <c r="C2769" s="60">
        <v>50</v>
      </c>
      <c r="D2769" s="60">
        <v>4996120</v>
      </c>
      <c r="E2769" s="60">
        <f t="shared" si="43"/>
        <v>4996120</v>
      </c>
    </row>
    <row r="2770" spans="1:5" x14ac:dyDescent="0.25">
      <c r="A2770" s="60">
        <v>351</v>
      </c>
      <c r="B2770" s="60" t="s">
        <v>119</v>
      </c>
      <c r="C2770" s="60">
        <v>70</v>
      </c>
      <c r="D2770" s="60">
        <v>0</v>
      </c>
      <c r="E2770" s="60">
        <f t="shared" si="43"/>
        <v>0</v>
      </c>
    </row>
    <row r="2771" spans="1:5" x14ac:dyDescent="0.25">
      <c r="A2771" s="60">
        <v>351</v>
      </c>
      <c r="B2771" s="60" t="s">
        <v>119</v>
      </c>
      <c r="C2771" s="60">
        <v>110</v>
      </c>
      <c r="D2771" s="60">
        <v>6349340</v>
      </c>
      <c r="E2771" s="60">
        <f t="shared" si="43"/>
        <v>-6349340</v>
      </c>
    </row>
    <row r="2772" spans="1:5" x14ac:dyDescent="0.25">
      <c r="A2772" s="60">
        <v>351</v>
      </c>
      <c r="B2772" s="60" t="s">
        <v>119</v>
      </c>
      <c r="C2772" s="60">
        <v>120</v>
      </c>
      <c r="D2772" s="60">
        <v>0</v>
      </c>
      <c r="E2772" s="60">
        <f t="shared" si="43"/>
        <v>0</v>
      </c>
    </row>
    <row r="2773" spans="1:5" x14ac:dyDescent="0.25">
      <c r="A2773" s="60">
        <v>351</v>
      </c>
      <c r="B2773" s="60" t="s">
        <v>119</v>
      </c>
      <c r="C2773" s="60">
        <v>130</v>
      </c>
      <c r="D2773" s="60">
        <v>0</v>
      </c>
      <c r="E2773" s="60">
        <f t="shared" si="43"/>
        <v>0</v>
      </c>
    </row>
    <row r="2774" spans="1:5" x14ac:dyDescent="0.25">
      <c r="A2774" s="60">
        <v>351</v>
      </c>
      <c r="B2774" s="60" t="s">
        <v>119</v>
      </c>
      <c r="C2774" s="60">
        <v>140</v>
      </c>
      <c r="D2774" s="60">
        <v>22140</v>
      </c>
      <c r="E2774" s="60">
        <f t="shared" si="43"/>
        <v>-22140</v>
      </c>
    </row>
    <row r="2775" spans="1:5" x14ac:dyDescent="0.25">
      <c r="A2775" s="60">
        <v>351</v>
      </c>
      <c r="B2775" s="60" t="s">
        <v>119</v>
      </c>
      <c r="C2775" s="60">
        <v>200</v>
      </c>
      <c r="D2775" s="60">
        <v>30797</v>
      </c>
      <c r="E2775" s="60">
        <f t="shared" si="43"/>
        <v>-30797</v>
      </c>
    </row>
    <row r="2776" spans="1:5" x14ac:dyDescent="0.25">
      <c r="A2776" s="60">
        <v>351</v>
      </c>
      <c r="B2776" s="60" t="s">
        <v>119</v>
      </c>
      <c r="C2776" s="60">
        <v>210</v>
      </c>
      <c r="D2776" s="60">
        <v>35157</v>
      </c>
      <c r="E2776" s="60">
        <f t="shared" si="43"/>
        <v>-35157</v>
      </c>
    </row>
    <row r="2777" spans="1:5" x14ac:dyDescent="0.25">
      <c r="A2777" s="60">
        <v>351</v>
      </c>
      <c r="B2777" s="60" t="s">
        <v>119</v>
      </c>
      <c r="C2777" s="60">
        <v>220</v>
      </c>
      <c r="D2777" s="60">
        <v>0</v>
      </c>
      <c r="E2777" s="60">
        <f t="shared" si="43"/>
        <v>0</v>
      </c>
    </row>
    <row r="2778" spans="1:5" x14ac:dyDescent="0.25">
      <c r="A2778" s="60">
        <v>351</v>
      </c>
      <c r="B2778" s="60" t="s">
        <v>119</v>
      </c>
      <c r="C2778" s="60">
        <v>230</v>
      </c>
      <c r="D2778" s="60">
        <v>41328</v>
      </c>
      <c r="E2778" s="60">
        <f t="shared" si="43"/>
        <v>-41328</v>
      </c>
    </row>
    <row r="2779" spans="1:5" x14ac:dyDescent="0.25">
      <c r="A2779" s="60">
        <v>351</v>
      </c>
      <c r="B2779" s="60" t="s">
        <v>119</v>
      </c>
      <c r="C2779" s="60">
        <v>270</v>
      </c>
      <c r="D2779" s="60">
        <v>0</v>
      </c>
      <c r="E2779" s="60">
        <f t="shared" si="43"/>
        <v>0</v>
      </c>
    </row>
    <row r="2780" spans="1:5" x14ac:dyDescent="0.25">
      <c r="A2780" s="60">
        <v>351</v>
      </c>
      <c r="B2780" s="60" t="s">
        <v>119</v>
      </c>
      <c r="C2780" s="60">
        <v>298</v>
      </c>
      <c r="D2780" s="60">
        <v>0</v>
      </c>
      <c r="E2780" s="60">
        <f t="shared" si="43"/>
        <v>0</v>
      </c>
    </row>
    <row r="2781" spans="1:5" x14ac:dyDescent="0.25">
      <c r="A2781" s="60">
        <v>351</v>
      </c>
      <c r="B2781" s="60" t="s">
        <v>120</v>
      </c>
      <c r="C2781" s="60">
        <v>1</v>
      </c>
      <c r="D2781" s="60">
        <v>8121209</v>
      </c>
      <c r="E2781" s="60">
        <f t="shared" si="43"/>
        <v>8121209</v>
      </c>
    </row>
    <row r="2782" spans="1:5" x14ac:dyDescent="0.25">
      <c r="A2782" s="60">
        <v>351</v>
      </c>
      <c r="B2782" s="60" t="s">
        <v>120</v>
      </c>
      <c r="C2782" s="60">
        <v>10</v>
      </c>
      <c r="D2782" s="60">
        <v>4500640</v>
      </c>
      <c r="E2782" s="60">
        <f t="shared" si="43"/>
        <v>4500640</v>
      </c>
    </row>
    <row r="2783" spans="1:5" x14ac:dyDescent="0.25">
      <c r="A2783" s="60">
        <v>351</v>
      </c>
      <c r="B2783" s="60" t="s">
        <v>120</v>
      </c>
      <c r="C2783" s="60">
        <v>20</v>
      </c>
      <c r="D2783" s="60">
        <v>67871</v>
      </c>
      <c r="E2783" s="60">
        <f t="shared" si="43"/>
        <v>67871</v>
      </c>
    </row>
    <row r="2784" spans="1:5" x14ac:dyDescent="0.25">
      <c r="A2784" s="60">
        <v>351</v>
      </c>
      <c r="B2784" s="60" t="s">
        <v>120</v>
      </c>
      <c r="C2784" s="60">
        <v>50</v>
      </c>
      <c r="D2784" s="60">
        <v>0</v>
      </c>
      <c r="E2784" s="60">
        <f t="shared" si="43"/>
        <v>0</v>
      </c>
    </row>
    <row r="2785" spans="1:5" x14ac:dyDescent="0.25">
      <c r="A2785" s="60">
        <v>351</v>
      </c>
      <c r="B2785" s="60" t="s">
        <v>120</v>
      </c>
      <c r="C2785" s="60">
        <v>70</v>
      </c>
      <c r="D2785" s="60">
        <v>0</v>
      </c>
      <c r="E2785" s="60">
        <f t="shared" si="43"/>
        <v>0</v>
      </c>
    </row>
    <row r="2786" spans="1:5" x14ac:dyDescent="0.25">
      <c r="A2786" s="60">
        <v>351</v>
      </c>
      <c r="B2786" s="60" t="s">
        <v>120</v>
      </c>
      <c r="C2786" s="60">
        <v>110</v>
      </c>
      <c r="D2786" s="60">
        <v>0</v>
      </c>
      <c r="E2786" s="60">
        <f t="shared" si="43"/>
        <v>0</v>
      </c>
    </row>
    <row r="2787" spans="1:5" x14ac:dyDescent="0.25">
      <c r="A2787" s="60">
        <v>351</v>
      </c>
      <c r="B2787" s="60" t="s">
        <v>120</v>
      </c>
      <c r="C2787" s="60">
        <v>120</v>
      </c>
      <c r="D2787" s="60">
        <v>37980</v>
      </c>
      <c r="E2787" s="60">
        <f t="shared" si="43"/>
        <v>-37980</v>
      </c>
    </row>
    <row r="2788" spans="1:5" x14ac:dyDescent="0.25">
      <c r="A2788" s="60">
        <v>351</v>
      </c>
      <c r="B2788" s="60" t="s">
        <v>120</v>
      </c>
      <c r="C2788" s="60">
        <v>130</v>
      </c>
      <c r="D2788" s="60">
        <v>0</v>
      </c>
      <c r="E2788" s="60">
        <f t="shared" si="43"/>
        <v>0</v>
      </c>
    </row>
    <row r="2789" spans="1:5" x14ac:dyDescent="0.25">
      <c r="A2789" s="60">
        <v>351</v>
      </c>
      <c r="B2789" s="60" t="s">
        <v>120</v>
      </c>
      <c r="C2789" s="60">
        <v>140</v>
      </c>
      <c r="D2789" s="60">
        <v>0</v>
      </c>
      <c r="E2789" s="60">
        <f t="shared" si="43"/>
        <v>0</v>
      </c>
    </row>
    <row r="2790" spans="1:5" x14ac:dyDescent="0.25">
      <c r="A2790" s="60">
        <v>351</v>
      </c>
      <c r="B2790" s="60" t="s">
        <v>120</v>
      </c>
      <c r="C2790" s="60">
        <v>141</v>
      </c>
      <c r="D2790" s="60">
        <v>12400820</v>
      </c>
      <c r="E2790" s="60">
        <f t="shared" si="43"/>
        <v>-12400820</v>
      </c>
    </row>
    <row r="2791" spans="1:5" x14ac:dyDescent="0.25">
      <c r="A2791" s="60">
        <v>351</v>
      </c>
      <c r="B2791" s="60" t="s">
        <v>120</v>
      </c>
      <c r="C2791" s="60">
        <v>200</v>
      </c>
      <c r="D2791" s="60">
        <v>44755</v>
      </c>
      <c r="E2791" s="60">
        <f t="shared" si="43"/>
        <v>-44755</v>
      </c>
    </row>
    <row r="2792" spans="1:5" x14ac:dyDescent="0.25">
      <c r="A2792" s="60">
        <v>351</v>
      </c>
      <c r="B2792" s="60" t="s">
        <v>120</v>
      </c>
      <c r="C2792" s="60">
        <v>210</v>
      </c>
      <c r="D2792" s="60">
        <v>1794</v>
      </c>
      <c r="E2792" s="60">
        <f t="shared" si="43"/>
        <v>-1794</v>
      </c>
    </row>
    <row r="2793" spans="1:5" x14ac:dyDescent="0.25">
      <c r="A2793" s="60">
        <v>351</v>
      </c>
      <c r="B2793" s="60" t="s">
        <v>120</v>
      </c>
      <c r="C2793" s="60">
        <v>220</v>
      </c>
      <c r="D2793" s="60">
        <v>0</v>
      </c>
      <c r="E2793" s="60">
        <f t="shared" si="43"/>
        <v>0</v>
      </c>
    </row>
    <row r="2794" spans="1:5" x14ac:dyDescent="0.25">
      <c r="A2794" s="60">
        <v>351</v>
      </c>
      <c r="B2794" s="60" t="s">
        <v>120</v>
      </c>
      <c r="C2794" s="60">
        <v>230</v>
      </c>
      <c r="D2794" s="60">
        <v>46839</v>
      </c>
      <c r="E2794" s="60">
        <f t="shared" si="43"/>
        <v>-46839</v>
      </c>
    </row>
    <row r="2795" spans="1:5" x14ac:dyDescent="0.25">
      <c r="A2795" s="60">
        <v>351</v>
      </c>
      <c r="B2795" s="60" t="s">
        <v>120</v>
      </c>
      <c r="C2795" s="60">
        <v>298</v>
      </c>
      <c r="D2795" s="60">
        <v>0</v>
      </c>
      <c r="E2795" s="60">
        <f t="shared" si="43"/>
        <v>0</v>
      </c>
    </row>
    <row r="2796" spans="1:5" x14ac:dyDescent="0.25">
      <c r="A2796" s="60">
        <v>361</v>
      </c>
      <c r="B2796" s="60" t="s">
        <v>117</v>
      </c>
      <c r="C2796" s="60">
        <v>1</v>
      </c>
      <c r="D2796" s="60">
        <v>20322653</v>
      </c>
      <c r="E2796" s="60">
        <f t="shared" si="43"/>
        <v>20322653</v>
      </c>
    </row>
    <row r="2797" spans="1:5" x14ac:dyDescent="0.25">
      <c r="A2797" s="60">
        <v>361</v>
      </c>
      <c r="B2797" s="60" t="s">
        <v>117</v>
      </c>
      <c r="C2797" s="60">
        <v>10</v>
      </c>
      <c r="D2797" s="60">
        <v>8536480</v>
      </c>
      <c r="E2797" s="60">
        <f t="shared" si="43"/>
        <v>8536480</v>
      </c>
    </row>
    <row r="2798" spans="1:5" x14ac:dyDescent="0.25">
      <c r="A2798" s="60">
        <v>361</v>
      </c>
      <c r="B2798" s="60" t="s">
        <v>117</v>
      </c>
      <c r="C2798" s="60">
        <v>20</v>
      </c>
      <c r="D2798" s="60">
        <v>0</v>
      </c>
      <c r="E2798" s="60">
        <f t="shared" si="43"/>
        <v>0</v>
      </c>
    </row>
    <row r="2799" spans="1:5" x14ac:dyDescent="0.25">
      <c r="A2799" s="60">
        <v>361</v>
      </c>
      <c r="B2799" s="60" t="s">
        <v>117</v>
      </c>
      <c r="C2799" s="60">
        <v>50</v>
      </c>
      <c r="D2799" s="60">
        <v>3462880</v>
      </c>
      <c r="E2799" s="60">
        <f t="shared" si="43"/>
        <v>3462880</v>
      </c>
    </row>
    <row r="2800" spans="1:5" x14ac:dyDescent="0.25">
      <c r="A2800" s="60">
        <v>361</v>
      </c>
      <c r="B2800" s="60" t="s">
        <v>117</v>
      </c>
      <c r="C2800" s="60">
        <v>70</v>
      </c>
      <c r="D2800" s="60">
        <v>0</v>
      </c>
      <c r="E2800" s="60">
        <f t="shared" si="43"/>
        <v>0</v>
      </c>
    </row>
    <row r="2801" spans="1:5" x14ac:dyDescent="0.25">
      <c r="A2801" s="60">
        <v>361</v>
      </c>
      <c r="B2801" s="60" t="s">
        <v>117</v>
      </c>
      <c r="C2801" s="60">
        <v>100</v>
      </c>
      <c r="D2801" s="60">
        <v>0</v>
      </c>
      <c r="E2801" s="60">
        <f t="shared" si="43"/>
        <v>0</v>
      </c>
    </row>
    <row r="2802" spans="1:5" x14ac:dyDescent="0.25">
      <c r="A2802" s="60">
        <v>361</v>
      </c>
      <c r="B2802" s="60" t="s">
        <v>117</v>
      </c>
      <c r="C2802" s="60">
        <v>110</v>
      </c>
      <c r="D2802" s="60">
        <v>21121240</v>
      </c>
      <c r="E2802" s="60">
        <f t="shared" si="43"/>
        <v>-21121240</v>
      </c>
    </row>
    <row r="2803" spans="1:5" x14ac:dyDescent="0.25">
      <c r="A2803" s="60">
        <v>361</v>
      </c>
      <c r="B2803" s="60" t="s">
        <v>117</v>
      </c>
      <c r="C2803" s="60">
        <v>120</v>
      </c>
      <c r="D2803" s="60">
        <v>0</v>
      </c>
      <c r="E2803" s="60">
        <f t="shared" si="43"/>
        <v>0</v>
      </c>
    </row>
    <row r="2804" spans="1:5" x14ac:dyDescent="0.25">
      <c r="A2804" s="60">
        <v>361</v>
      </c>
      <c r="B2804" s="60" t="s">
        <v>117</v>
      </c>
      <c r="C2804" s="60">
        <v>130</v>
      </c>
      <c r="D2804" s="60">
        <v>0</v>
      </c>
      <c r="E2804" s="60">
        <f t="shared" si="43"/>
        <v>0</v>
      </c>
    </row>
    <row r="2805" spans="1:5" x14ac:dyDescent="0.25">
      <c r="A2805" s="60">
        <v>361</v>
      </c>
      <c r="B2805" s="60" t="s">
        <v>117</v>
      </c>
      <c r="C2805" s="60">
        <v>140</v>
      </c>
      <c r="D2805" s="60">
        <v>0</v>
      </c>
      <c r="E2805" s="60">
        <f t="shared" si="43"/>
        <v>0</v>
      </c>
    </row>
    <row r="2806" spans="1:5" x14ac:dyDescent="0.25">
      <c r="A2806" s="60">
        <v>361</v>
      </c>
      <c r="B2806" s="60" t="s">
        <v>117</v>
      </c>
      <c r="C2806" s="60">
        <v>200</v>
      </c>
      <c r="D2806" s="60">
        <v>42682</v>
      </c>
      <c r="E2806" s="60">
        <f t="shared" si="43"/>
        <v>-42682</v>
      </c>
    </row>
    <row r="2807" spans="1:5" x14ac:dyDescent="0.25">
      <c r="A2807" s="60">
        <v>361</v>
      </c>
      <c r="B2807" s="60" t="s">
        <v>117</v>
      </c>
      <c r="C2807" s="60">
        <v>210</v>
      </c>
      <c r="D2807" s="60">
        <v>69970</v>
      </c>
      <c r="E2807" s="60">
        <f t="shared" si="43"/>
        <v>-69970</v>
      </c>
    </row>
    <row r="2808" spans="1:5" x14ac:dyDescent="0.25">
      <c r="A2808" s="60">
        <v>361</v>
      </c>
      <c r="B2808" s="60" t="s">
        <v>117</v>
      </c>
      <c r="C2808" s="60">
        <v>220</v>
      </c>
      <c r="D2808" s="60">
        <v>0</v>
      </c>
      <c r="E2808" s="60">
        <f t="shared" si="43"/>
        <v>0</v>
      </c>
    </row>
    <row r="2809" spans="1:5" x14ac:dyDescent="0.25">
      <c r="A2809" s="60">
        <v>361</v>
      </c>
      <c r="B2809" s="60" t="s">
        <v>117</v>
      </c>
      <c r="C2809" s="60">
        <v>230</v>
      </c>
      <c r="D2809" s="60">
        <v>0</v>
      </c>
      <c r="E2809" s="60">
        <f t="shared" si="43"/>
        <v>0</v>
      </c>
    </row>
    <row r="2810" spans="1:5" x14ac:dyDescent="0.25">
      <c r="A2810" s="60">
        <v>361</v>
      </c>
      <c r="B2810" s="60" t="s">
        <v>117</v>
      </c>
      <c r="C2810" s="60">
        <v>298</v>
      </c>
      <c r="D2810" s="60">
        <v>0</v>
      </c>
      <c r="E2810" s="60">
        <f t="shared" si="43"/>
        <v>0</v>
      </c>
    </row>
    <row r="2811" spans="1:5" x14ac:dyDescent="0.25">
      <c r="A2811" s="60">
        <v>361</v>
      </c>
      <c r="B2811" s="60" t="s">
        <v>118</v>
      </c>
      <c r="C2811" s="60">
        <v>1</v>
      </c>
      <c r="D2811" s="60">
        <v>0</v>
      </c>
      <c r="E2811" s="60">
        <f t="shared" si="43"/>
        <v>0</v>
      </c>
    </row>
    <row r="2812" spans="1:5" x14ac:dyDescent="0.25">
      <c r="A2812" s="60">
        <v>361</v>
      </c>
      <c r="B2812" s="60" t="s">
        <v>118</v>
      </c>
      <c r="C2812" s="60">
        <v>10</v>
      </c>
      <c r="D2812" s="60">
        <v>0</v>
      </c>
      <c r="E2812" s="60">
        <f t="shared" si="43"/>
        <v>0</v>
      </c>
    </row>
    <row r="2813" spans="1:5" x14ac:dyDescent="0.25">
      <c r="A2813" s="60">
        <v>361</v>
      </c>
      <c r="B2813" s="60" t="s">
        <v>118</v>
      </c>
      <c r="C2813" s="60">
        <v>20</v>
      </c>
      <c r="D2813" s="60">
        <v>0</v>
      </c>
      <c r="E2813" s="60">
        <f t="shared" si="43"/>
        <v>0</v>
      </c>
    </row>
    <row r="2814" spans="1:5" x14ac:dyDescent="0.25">
      <c r="A2814" s="60">
        <v>361</v>
      </c>
      <c r="B2814" s="60" t="s">
        <v>118</v>
      </c>
      <c r="C2814" s="60">
        <v>120</v>
      </c>
      <c r="D2814" s="60">
        <v>0</v>
      </c>
      <c r="E2814" s="60">
        <f t="shared" si="43"/>
        <v>0</v>
      </c>
    </row>
    <row r="2815" spans="1:5" x14ac:dyDescent="0.25">
      <c r="A2815" s="60">
        <v>361</v>
      </c>
      <c r="B2815" s="60" t="s">
        <v>118</v>
      </c>
      <c r="C2815" s="60">
        <v>130</v>
      </c>
      <c r="D2815" s="60">
        <v>0</v>
      </c>
      <c r="E2815" s="60">
        <f t="shared" si="43"/>
        <v>0</v>
      </c>
    </row>
    <row r="2816" spans="1:5" x14ac:dyDescent="0.25">
      <c r="A2816" s="60">
        <v>361</v>
      </c>
      <c r="B2816" s="60" t="s">
        <v>118</v>
      </c>
      <c r="C2816" s="60">
        <v>200</v>
      </c>
      <c r="D2816" s="60">
        <v>0</v>
      </c>
      <c r="E2816" s="60">
        <f t="shared" si="43"/>
        <v>0</v>
      </c>
    </row>
    <row r="2817" spans="1:5" x14ac:dyDescent="0.25">
      <c r="A2817" s="60">
        <v>361</v>
      </c>
      <c r="B2817" s="60" t="s">
        <v>118</v>
      </c>
      <c r="C2817" s="60">
        <v>210</v>
      </c>
      <c r="D2817" s="60">
        <v>0</v>
      </c>
      <c r="E2817" s="60">
        <f t="shared" si="43"/>
        <v>0</v>
      </c>
    </row>
    <row r="2818" spans="1:5" x14ac:dyDescent="0.25">
      <c r="A2818" s="60">
        <v>361</v>
      </c>
      <c r="B2818" s="60" t="s">
        <v>118</v>
      </c>
      <c r="C2818" s="60">
        <v>220</v>
      </c>
      <c r="D2818" s="60">
        <v>0</v>
      </c>
      <c r="E2818" s="60">
        <f t="shared" ref="E2818:E2881" si="44">IF(C2818&lt;100,D2818,D2818*-1)</f>
        <v>0</v>
      </c>
    </row>
    <row r="2819" spans="1:5" x14ac:dyDescent="0.25">
      <c r="A2819" s="60">
        <v>361</v>
      </c>
      <c r="B2819" s="60" t="s">
        <v>118</v>
      </c>
      <c r="C2819" s="60">
        <v>230</v>
      </c>
      <c r="D2819" s="60">
        <v>0</v>
      </c>
      <c r="E2819" s="60">
        <f t="shared" si="44"/>
        <v>0</v>
      </c>
    </row>
    <row r="2820" spans="1:5" x14ac:dyDescent="0.25">
      <c r="A2820" s="60">
        <v>361</v>
      </c>
      <c r="B2820" s="60" t="s">
        <v>118</v>
      </c>
      <c r="C2820" s="60">
        <v>298</v>
      </c>
      <c r="D2820" s="60">
        <v>0</v>
      </c>
      <c r="E2820" s="60">
        <f t="shared" si="44"/>
        <v>0</v>
      </c>
    </row>
    <row r="2821" spans="1:5" x14ac:dyDescent="0.25">
      <c r="A2821" s="60">
        <v>361</v>
      </c>
      <c r="B2821" s="60" t="s">
        <v>119</v>
      </c>
      <c r="C2821" s="60">
        <v>1</v>
      </c>
      <c r="D2821" s="60">
        <v>0</v>
      </c>
      <c r="E2821" s="60">
        <f t="shared" si="44"/>
        <v>0</v>
      </c>
    </row>
    <row r="2822" spans="1:5" x14ac:dyDescent="0.25">
      <c r="A2822" s="60">
        <v>361</v>
      </c>
      <c r="B2822" s="60" t="s">
        <v>119</v>
      </c>
      <c r="C2822" s="60">
        <v>50</v>
      </c>
      <c r="D2822" s="60">
        <v>0</v>
      </c>
      <c r="E2822" s="60">
        <f t="shared" si="44"/>
        <v>0</v>
      </c>
    </row>
    <row r="2823" spans="1:5" x14ac:dyDescent="0.25">
      <c r="A2823" s="60">
        <v>361</v>
      </c>
      <c r="B2823" s="60" t="s">
        <v>119</v>
      </c>
      <c r="C2823" s="60">
        <v>110</v>
      </c>
      <c r="D2823" s="60">
        <v>0</v>
      </c>
      <c r="E2823" s="60">
        <f t="shared" si="44"/>
        <v>0</v>
      </c>
    </row>
    <row r="2824" spans="1:5" x14ac:dyDescent="0.25">
      <c r="A2824" s="60">
        <v>361</v>
      </c>
      <c r="B2824" s="60" t="s">
        <v>119</v>
      </c>
      <c r="C2824" s="60">
        <v>140</v>
      </c>
      <c r="D2824" s="60">
        <v>0</v>
      </c>
      <c r="E2824" s="60">
        <f t="shared" si="44"/>
        <v>0</v>
      </c>
    </row>
    <row r="2825" spans="1:5" x14ac:dyDescent="0.25">
      <c r="A2825" s="60">
        <v>361</v>
      </c>
      <c r="B2825" s="60" t="s">
        <v>119</v>
      </c>
      <c r="C2825" s="60">
        <v>220</v>
      </c>
      <c r="D2825" s="60">
        <v>0</v>
      </c>
      <c r="E2825" s="60">
        <f t="shared" si="44"/>
        <v>0</v>
      </c>
    </row>
    <row r="2826" spans="1:5" x14ac:dyDescent="0.25">
      <c r="A2826" s="60">
        <v>432</v>
      </c>
      <c r="B2826" s="60" t="s">
        <v>117</v>
      </c>
      <c r="C2826" s="60">
        <v>1</v>
      </c>
      <c r="D2826" s="60">
        <v>4875530</v>
      </c>
      <c r="E2826" s="60">
        <f t="shared" si="44"/>
        <v>4875530</v>
      </c>
    </row>
    <row r="2827" spans="1:5" x14ac:dyDescent="0.25">
      <c r="A2827" s="60">
        <v>432</v>
      </c>
      <c r="B2827" s="60" t="s">
        <v>117</v>
      </c>
      <c r="C2827" s="60">
        <v>10</v>
      </c>
      <c r="D2827" s="60">
        <v>33957160</v>
      </c>
      <c r="E2827" s="60">
        <f t="shared" si="44"/>
        <v>33957160</v>
      </c>
    </row>
    <row r="2828" spans="1:5" x14ac:dyDescent="0.25">
      <c r="A2828" s="60">
        <v>432</v>
      </c>
      <c r="B2828" s="60" t="s">
        <v>117</v>
      </c>
      <c r="C2828" s="60">
        <v>20</v>
      </c>
      <c r="D2828" s="60">
        <v>0</v>
      </c>
      <c r="E2828" s="60">
        <f t="shared" si="44"/>
        <v>0</v>
      </c>
    </row>
    <row r="2829" spans="1:5" x14ac:dyDescent="0.25">
      <c r="A2829" s="60">
        <v>432</v>
      </c>
      <c r="B2829" s="60" t="s">
        <v>117</v>
      </c>
      <c r="C2829" s="60">
        <v>50</v>
      </c>
      <c r="D2829" s="60">
        <v>37020</v>
      </c>
      <c r="E2829" s="60">
        <f t="shared" si="44"/>
        <v>37020</v>
      </c>
    </row>
    <row r="2830" spans="1:5" x14ac:dyDescent="0.25">
      <c r="A2830" s="60">
        <v>432</v>
      </c>
      <c r="B2830" s="60" t="s">
        <v>117</v>
      </c>
      <c r="C2830" s="60">
        <v>70</v>
      </c>
      <c r="D2830" s="60">
        <v>-466673</v>
      </c>
      <c r="E2830" s="60">
        <f t="shared" si="44"/>
        <v>-466673</v>
      </c>
    </row>
    <row r="2831" spans="1:5" x14ac:dyDescent="0.25">
      <c r="A2831" s="60">
        <v>432</v>
      </c>
      <c r="B2831" s="60" t="s">
        <v>117</v>
      </c>
      <c r="C2831" s="60">
        <v>110</v>
      </c>
      <c r="D2831" s="60">
        <v>7603600</v>
      </c>
      <c r="E2831" s="60">
        <f t="shared" si="44"/>
        <v>-7603600</v>
      </c>
    </row>
    <row r="2832" spans="1:5" x14ac:dyDescent="0.25">
      <c r="A2832" s="60">
        <v>432</v>
      </c>
      <c r="B2832" s="60" t="s">
        <v>117</v>
      </c>
      <c r="C2832" s="60">
        <v>120</v>
      </c>
      <c r="D2832" s="60">
        <v>0</v>
      </c>
      <c r="E2832" s="60">
        <f t="shared" si="44"/>
        <v>0</v>
      </c>
    </row>
    <row r="2833" spans="1:5" x14ac:dyDescent="0.25">
      <c r="A2833" s="60">
        <v>432</v>
      </c>
      <c r="B2833" s="60" t="s">
        <v>117</v>
      </c>
      <c r="C2833" s="60">
        <v>130</v>
      </c>
      <c r="D2833" s="60">
        <v>210460</v>
      </c>
      <c r="E2833" s="60">
        <f t="shared" si="44"/>
        <v>-210460</v>
      </c>
    </row>
    <row r="2834" spans="1:5" x14ac:dyDescent="0.25">
      <c r="A2834" s="60">
        <v>432</v>
      </c>
      <c r="B2834" s="60" t="s">
        <v>117</v>
      </c>
      <c r="C2834" s="60">
        <v>140</v>
      </c>
      <c r="D2834" s="60">
        <v>25922380</v>
      </c>
      <c r="E2834" s="60">
        <f t="shared" si="44"/>
        <v>-25922380</v>
      </c>
    </row>
    <row r="2835" spans="1:5" x14ac:dyDescent="0.25">
      <c r="A2835" s="60">
        <v>432</v>
      </c>
      <c r="B2835" s="60" t="s">
        <v>117</v>
      </c>
      <c r="C2835" s="60">
        <v>150</v>
      </c>
      <c r="D2835" s="60">
        <v>0</v>
      </c>
      <c r="E2835" s="60">
        <f t="shared" si="44"/>
        <v>0</v>
      </c>
    </row>
    <row r="2836" spans="1:5" x14ac:dyDescent="0.25">
      <c r="A2836" s="60">
        <v>432</v>
      </c>
      <c r="B2836" s="60" t="s">
        <v>117</v>
      </c>
      <c r="C2836" s="60">
        <v>200</v>
      </c>
      <c r="D2836" s="60">
        <v>168512</v>
      </c>
      <c r="E2836" s="60">
        <f t="shared" si="44"/>
        <v>-168512</v>
      </c>
    </row>
    <row r="2837" spans="1:5" x14ac:dyDescent="0.25">
      <c r="A2837" s="60">
        <v>432</v>
      </c>
      <c r="B2837" s="60" t="s">
        <v>117</v>
      </c>
      <c r="C2837" s="60">
        <v>210</v>
      </c>
      <c r="D2837" s="60">
        <v>166008</v>
      </c>
      <c r="E2837" s="60">
        <f t="shared" si="44"/>
        <v>-166008</v>
      </c>
    </row>
    <row r="2838" spans="1:5" x14ac:dyDescent="0.25">
      <c r="A2838" s="60">
        <v>432</v>
      </c>
      <c r="B2838" s="60" t="s">
        <v>117</v>
      </c>
      <c r="C2838" s="60">
        <v>230</v>
      </c>
      <c r="D2838" s="60">
        <v>0</v>
      </c>
      <c r="E2838" s="60">
        <f t="shared" si="44"/>
        <v>0</v>
      </c>
    </row>
    <row r="2839" spans="1:5" x14ac:dyDescent="0.25">
      <c r="A2839" s="60">
        <v>432</v>
      </c>
      <c r="B2839" s="60" t="s">
        <v>117</v>
      </c>
      <c r="C2839" s="60">
        <v>298</v>
      </c>
      <c r="D2839" s="60">
        <v>0</v>
      </c>
      <c r="E2839" s="60">
        <f t="shared" si="44"/>
        <v>0</v>
      </c>
    </row>
    <row r="2840" spans="1:5" x14ac:dyDescent="0.25">
      <c r="A2840" s="60">
        <v>432</v>
      </c>
      <c r="B2840" s="60" t="s">
        <v>118</v>
      </c>
      <c r="C2840" s="60">
        <v>1</v>
      </c>
      <c r="D2840" s="60">
        <v>-132763</v>
      </c>
      <c r="E2840" s="60">
        <f t="shared" si="44"/>
        <v>-132763</v>
      </c>
    </row>
    <row r="2841" spans="1:5" x14ac:dyDescent="0.25">
      <c r="A2841" s="60">
        <v>432</v>
      </c>
      <c r="B2841" s="60" t="s">
        <v>118</v>
      </c>
      <c r="C2841" s="60">
        <v>10</v>
      </c>
      <c r="D2841" s="60">
        <v>11686400</v>
      </c>
      <c r="E2841" s="60">
        <f t="shared" si="44"/>
        <v>11686400</v>
      </c>
    </row>
    <row r="2842" spans="1:5" x14ac:dyDescent="0.25">
      <c r="A2842" s="60">
        <v>432</v>
      </c>
      <c r="B2842" s="60" t="s">
        <v>118</v>
      </c>
      <c r="C2842" s="60">
        <v>20</v>
      </c>
      <c r="D2842" s="60">
        <v>0</v>
      </c>
      <c r="E2842" s="60">
        <f t="shared" si="44"/>
        <v>0</v>
      </c>
    </row>
    <row r="2843" spans="1:5" x14ac:dyDescent="0.25">
      <c r="A2843" s="60">
        <v>432</v>
      </c>
      <c r="B2843" s="60" t="s">
        <v>118</v>
      </c>
      <c r="C2843" s="60">
        <v>50</v>
      </c>
      <c r="D2843" s="60">
        <v>73320</v>
      </c>
      <c r="E2843" s="60">
        <f t="shared" si="44"/>
        <v>73320</v>
      </c>
    </row>
    <row r="2844" spans="1:5" x14ac:dyDescent="0.25">
      <c r="A2844" s="60">
        <v>432</v>
      </c>
      <c r="B2844" s="60" t="s">
        <v>118</v>
      </c>
      <c r="C2844" s="60">
        <v>70</v>
      </c>
      <c r="D2844" s="60">
        <v>83876</v>
      </c>
      <c r="E2844" s="60">
        <f t="shared" si="44"/>
        <v>83876</v>
      </c>
    </row>
    <row r="2845" spans="1:5" x14ac:dyDescent="0.25">
      <c r="A2845" s="60">
        <v>432</v>
      </c>
      <c r="B2845" s="60" t="s">
        <v>118</v>
      </c>
      <c r="C2845" s="60">
        <v>110</v>
      </c>
      <c r="D2845" s="60">
        <v>0</v>
      </c>
      <c r="E2845" s="60">
        <f t="shared" si="44"/>
        <v>0</v>
      </c>
    </row>
    <row r="2846" spans="1:5" x14ac:dyDescent="0.25">
      <c r="A2846" s="60">
        <v>432</v>
      </c>
      <c r="B2846" s="60" t="s">
        <v>118</v>
      </c>
      <c r="C2846" s="60">
        <v>120</v>
      </c>
      <c r="D2846" s="60">
        <v>0</v>
      </c>
      <c r="E2846" s="60">
        <f t="shared" si="44"/>
        <v>0</v>
      </c>
    </row>
    <row r="2847" spans="1:5" x14ac:dyDescent="0.25">
      <c r="A2847" s="60">
        <v>432</v>
      </c>
      <c r="B2847" s="60" t="s">
        <v>118</v>
      </c>
      <c r="C2847" s="60">
        <v>130</v>
      </c>
      <c r="D2847" s="60">
        <v>0</v>
      </c>
      <c r="E2847" s="60">
        <f t="shared" si="44"/>
        <v>0</v>
      </c>
    </row>
    <row r="2848" spans="1:5" x14ac:dyDescent="0.25">
      <c r="A2848" s="60">
        <v>432</v>
      </c>
      <c r="B2848" s="60" t="s">
        <v>118</v>
      </c>
      <c r="C2848" s="60">
        <v>140</v>
      </c>
      <c r="D2848" s="60">
        <v>97960</v>
      </c>
      <c r="E2848" s="60">
        <f t="shared" si="44"/>
        <v>-97960</v>
      </c>
    </row>
    <row r="2849" spans="1:5" x14ac:dyDescent="0.25">
      <c r="A2849" s="60">
        <v>432</v>
      </c>
      <c r="B2849" s="60" t="s">
        <v>118</v>
      </c>
      <c r="C2849" s="60">
        <v>141</v>
      </c>
      <c r="D2849" s="60">
        <v>851660</v>
      </c>
      <c r="E2849" s="60">
        <f t="shared" si="44"/>
        <v>-851660</v>
      </c>
    </row>
    <row r="2850" spans="1:5" x14ac:dyDescent="0.25">
      <c r="A2850" s="60">
        <v>432</v>
      </c>
      <c r="B2850" s="60" t="s">
        <v>118</v>
      </c>
      <c r="C2850" s="60">
        <v>150</v>
      </c>
      <c r="D2850" s="60">
        <v>0</v>
      </c>
      <c r="E2850" s="60">
        <f t="shared" si="44"/>
        <v>0</v>
      </c>
    </row>
    <row r="2851" spans="1:5" x14ac:dyDescent="0.25">
      <c r="A2851" s="60">
        <v>432</v>
      </c>
      <c r="B2851" s="60" t="s">
        <v>118</v>
      </c>
      <c r="C2851" s="60">
        <v>160</v>
      </c>
      <c r="D2851" s="60">
        <v>0</v>
      </c>
      <c r="E2851" s="60">
        <f t="shared" si="44"/>
        <v>0</v>
      </c>
    </row>
    <row r="2852" spans="1:5" x14ac:dyDescent="0.25">
      <c r="A2852" s="60">
        <v>432</v>
      </c>
      <c r="B2852" s="60" t="s">
        <v>118</v>
      </c>
      <c r="C2852" s="60">
        <v>200</v>
      </c>
      <c r="D2852" s="60">
        <v>58386</v>
      </c>
      <c r="E2852" s="60">
        <f t="shared" si="44"/>
        <v>-58386</v>
      </c>
    </row>
    <row r="2853" spans="1:5" x14ac:dyDescent="0.25">
      <c r="A2853" s="60">
        <v>432</v>
      </c>
      <c r="B2853" s="60" t="s">
        <v>118</v>
      </c>
      <c r="C2853" s="60">
        <v>210</v>
      </c>
      <c r="D2853" s="60">
        <v>0</v>
      </c>
      <c r="E2853" s="60">
        <f t="shared" si="44"/>
        <v>0</v>
      </c>
    </row>
    <row r="2854" spans="1:5" x14ac:dyDescent="0.25">
      <c r="A2854" s="60">
        <v>432</v>
      </c>
      <c r="B2854" s="60" t="s">
        <v>118</v>
      </c>
      <c r="C2854" s="60">
        <v>230</v>
      </c>
      <c r="D2854" s="60">
        <v>237789</v>
      </c>
      <c r="E2854" s="60">
        <f t="shared" si="44"/>
        <v>-237789</v>
      </c>
    </row>
    <row r="2855" spans="1:5" x14ac:dyDescent="0.25">
      <c r="A2855" s="60">
        <v>432</v>
      </c>
      <c r="B2855" s="60" t="s">
        <v>118</v>
      </c>
      <c r="C2855" s="60">
        <v>298</v>
      </c>
      <c r="D2855" s="60">
        <v>0</v>
      </c>
      <c r="E2855" s="60">
        <f t="shared" si="44"/>
        <v>0</v>
      </c>
    </row>
    <row r="2856" spans="1:5" x14ac:dyDescent="0.25">
      <c r="A2856" s="60">
        <v>432</v>
      </c>
      <c r="B2856" s="60" t="s">
        <v>119</v>
      </c>
      <c r="C2856" s="60">
        <v>1</v>
      </c>
      <c r="D2856" s="60">
        <v>23769884</v>
      </c>
      <c r="E2856" s="60">
        <f t="shared" si="44"/>
        <v>23769884</v>
      </c>
    </row>
    <row r="2857" spans="1:5" x14ac:dyDescent="0.25">
      <c r="A2857" s="60">
        <v>432</v>
      </c>
      <c r="B2857" s="60" t="s">
        <v>119</v>
      </c>
      <c r="C2857" s="60">
        <v>10</v>
      </c>
      <c r="D2857" s="60">
        <v>12963440</v>
      </c>
      <c r="E2857" s="60">
        <f t="shared" si="44"/>
        <v>12963440</v>
      </c>
    </row>
    <row r="2858" spans="1:5" x14ac:dyDescent="0.25">
      <c r="A2858" s="60">
        <v>432</v>
      </c>
      <c r="B2858" s="60" t="s">
        <v>119</v>
      </c>
      <c r="C2858" s="60">
        <v>20</v>
      </c>
      <c r="D2858" s="60">
        <v>0</v>
      </c>
      <c r="E2858" s="60">
        <f t="shared" si="44"/>
        <v>0</v>
      </c>
    </row>
    <row r="2859" spans="1:5" x14ac:dyDescent="0.25">
      <c r="A2859" s="60">
        <v>432</v>
      </c>
      <c r="B2859" s="60" t="s">
        <v>119</v>
      </c>
      <c r="C2859" s="60">
        <v>50</v>
      </c>
      <c r="D2859" s="60">
        <v>62300</v>
      </c>
      <c r="E2859" s="60">
        <f t="shared" si="44"/>
        <v>62300</v>
      </c>
    </row>
    <row r="2860" spans="1:5" x14ac:dyDescent="0.25">
      <c r="A2860" s="60">
        <v>432</v>
      </c>
      <c r="B2860" s="60" t="s">
        <v>119</v>
      </c>
      <c r="C2860" s="60">
        <v>70</v>
      </c>
      <c r="D2860" s="60">
        <v>-6840</v>
      </c>
      <c r="E2860" s="60">
        <f t="shared" si="44"/>
        <v>-6840</v>
      </c>
    </row>
    <row r="2861" spans="1:5" x14ac:dyDescent="0.25">
      <c r="A2861" s="60">
        <v>432</v>
      </c>
      <c r="B2861" s="60" t="s">
        <v>119</v>
      </c>
      <c r="C2861" s="60">
        <v>100</v>
      </c>
      <c r="D2861" s="60">
        <v>0</v>
      </c>
      <c r="E2861" s="60">
        <f t="shared" si="44"/>
        <v>0</v>
      </c>
    </row>
    <row r="2862" spans="1:5" x14ac:dyDescent="0.25">
      <c r="A2862" s="60">
        <v>432</v>
      </c>
      <c r="B2862" s="60" t="s">
        <v>119</v>
      </c>
      <c r="C2862" s="60">
        <v>110</v>
      </c>
      <c r="D2862" s="60">
        <v>24138700</v>
      </c>
      <c r="E2862" s="60">
        <f t="shared" si="44"/>
        <v>-24138700</v>
      </c>
    </row>
    <row r="2863" spans="1:5" x14ac:dyDescent="0.25">
      <c r="A2863" s="60">
        <v>432</v>
      </c>
      <c r="B2863" s="60" t="s">
        <v>119</v>
      </c>
      <c r="C2863" s="60">
        <v>120</v>
      </c>
      <c r="D2863" s="60">
        <v>0</v>
      </c>
      <c r="E2863" s="60">
        <f t="shared" si="44"/>
        <v>0</v>
      </c>
    </row>
    <row r="2864" spans="1:5" x14ac:dyDescent="0.25">
      <c r="A2864" s="60">
        <v>432</v>
      </c>
      <c r="B2864" s="60" t="s">
        <v>119</v>
      </c>
      <c r="C2864" s="60">
        <v>130</v>
      </c>
      <c r="D2864" s="60">
        <v>0</v>
      </c>
      <c r="E2864" s="60">
        <f t="shared" si="44"/>
        <v>0</v>
      </c>
    </row>
    <row r="2865" spans="1:5" x14ac:dyDescent="0.25">
      <c r="A2865" s="60">
        <v>432</v>
      </c>
      <c r="B2865" s="60" t="s">
        <v>119</v>
      </c>
      <c r="C2865" s="60">
        <v>140</v>
      </c>
      <c r="D2865" s="60">
        <v>0</v>
      </c>
      <c r="E2865" s="60">
        <f t="shared" si="44"/>
        <v>0</v>
      </c>
    </row>
    <row r="2866" spans="1:5" x14ac:dyDescent="0.25">
      <c r="A2866" s="60">
        <v>432</v>
      </c>
      <c r="B2866" s="60" t="s">
        <v>119</v>
      </c>
      <c r="C2866" s="60">
        <v>150</v>
      </c>
      <c r="D2866" s="60">
        <v>0</v>
      </c>
      <c r="E2866" s="60">
        <f t="shared" si="44"/>
        <v>0</v>
      </c>
    </row>
    <row r="2867" spans="1:5" x14ac:dyDescent="0.25">
      <c r="A2867" s="60">
        <v>432</v>
      </c>
      <c r="B2867" s="60" t="s">
        <v>119</v>
      </c>
      <c r="C2867" s="60">
        <v>200</v>
      </c>
      <c r="D2867" s="60">
        <v>63355</v>
      </c>
      <c r="E2867" s="60">
        <f t="shared" si="44"/>
        <v>-63355</v>
      </c>
    </row>
    <row r="2868" spans="1:5" x14ac:dyDescent="0.25">
      <c r="A2868" s="60">
        <v>432</v>
      </c>
      <c r="B2868" s="60" t="s">
        <v>119</v>
      </c>
      <c r="C2868" s="60">
        <v>210</v>
      </c>
      <c r="D2868" s="60">
        <v>13885</v>
      </c>
      <c r="E2868" s="60">
        <f t="shared" si="44"/>
        <v>-13885</v>
      </c>
    </row>
    <row r="2869" spans="1:5" x14ac:dyDescent="0.25">
      <c r="A2869" s="60">
        <v>432</v>
      </c>
      <c r="B2869" s="60" t="s">
        <v>119</v>
      </c>
      <c r="C2869" s="60">
        <v>230</v>
      </c>
      <c r="D2869" s="60">
        <v>107389</v>
      </c>
      <c r="E2869" s="60">
        <f t="shared" si="44"/>
        <v>-107389</v>
      </c>
    </row>
    <row r="2870" spans="1:5" x14ac:dyDescent="0.25">
      <c r="A2870" s="60">
        <v>432</v>
      </c>
      <c r="B2870" s="60" t="s">
        <v>119</v>
      </c>
      <c r="C2870" s="60">
        <v>270</v>
      </c>
      <c r="D2870" s="60">
        <v>0</v>
      </c>
      <c r="E2870" s="60">
        <f t="shared" si="44"/>
        <v>0</v>
      </c>
    </row>
    <row r="2871" spans="1:5" x14ac:dyDescent="0.25">
      <c r="A2871" s="60">
        <v>432</v>
      </c>
      <c r="B2871" s="60" t="s">
        <v>119</v>
      </c>
      <c r="C2871" s="60">
        <v>298</v>
      </c>
      <c r="D2871" s="60">
        <v>0</v>
      </c>
      <c r="E2871" s="60">
        <f t="shared" si="44"/>
        <v>0</v>
      </c>
    </row>
    <row r="2872" spans="1:5" x14ac:dyDescent="0.25">
      <c r="A2872" s="60">
        <v>432</v>
      </c>
      <c r="B2872" s="60" t="s">
        <v>120</v>
      </c>
      <c r="C2872" s="60">
        <v>1</v>
      </c>
      <c r="D2872" s="60">
        <v>0</v>
      </c>
      <c r="E2872" s="60">
        <f t="shared" si="44"/>
        <v>0</v>
      </c>
    </row>
    <row r="2873" spans="1:5" x14ac:dyDescent="0.25">
      <c r="A2873" s="60">
        <v>432</v>
      </c>
      <c r="B2873" s="60" t="s">
        <v>120</v>
      </c>
      <c r="C2873" s="60">
        <v>10</v>
      </c>
      <c r="D2873" s="60">
        <v>11580</v>
      </c>
      <c r="E2873" s="60">
        <f t="shared" si="44"/>
        <v>11580</v>
      </c>
    </row>
    <row r="2874" spans="1:5" x14ac:dyDescent="0.25">
      <c r="A2874" s="60">
        <v>432</v>
      </c>
      <c r="B2874" s="60" t="s">
        <v>120</v>
      </c>
      <c r="C2874" s="60">
        <v>20</v>
      </c>
      <c r="D2874" s="60">
        <v>0</v>
      </c>
      <c r="E2874" s="60">
        <f t="shared" si="44"/>
        <v>0</v>
      </c>
    </row>
    <row r="2875" spans="1:5" x14ac:dyDescent="0.25">
      <c r="A2875" s="60">
        <v>432</v>
      </c>
      <c r="B2875" s="60" t="s">
        <v>120</v>
      </c>
      <c r="C2875" s="60">
        <v>50</v>
      </c>
      <c r="D2875" s="60">
        <v>12200</v>
      </c>
      <c r="E2875" s="60">
        <f t="shared" si="44"/>
        <v>12200</v>
      </c>
    </row>
    <row r="2876" spans="1:5" x14ac:dyDescent="0.25">
      <c r="A2876" s="60">
        <v>432</v>
      </c>
      <c r="B2876" s="60" t="s">
        <v>120</v>
      </c>
      <c r="C2876" s="60">
        <v>70</v>
      </c>
      <c r="D2876" s="60">
        <v>-12200</v>
      </c>
      <c r="E2876" s="60">
        <f t="shared" si="44"/>
        <v>-12200</v>
      </c>
    </row>
    <row r="2877" spans="1:5" x14ac:dyDescent="0.25">
      <c r="A2877" s="60">
        <v>432</v>
      </c>
      <c r="B2877" s="60" t="s">
        <v>120</v>
      </c>
      <c r="C2877" s="60">
        <v>110</v>
      </c>
      <c r="D2877" s="60">
        <v>0</v>
      </c>
      <c r="E2877" s="60">
        <f t="shared" si="44"/>
        <v>0</v>
      </c>
    </row>
    <row r="2878" spans="1:5" x14ac:dyDescent="0.25">
      <c r="A2878" s="60">
        <v>432</v>
      </c>
      <c r="B2878" s="60" t="s">
        <v>120</v>
      </c>
      <c r="C2878" s="60">
        <v>120</v>
      </c>
      <c r="D2878" s="60">
        <v>0</v>
      </c>
      <c r="E2878" s="60">
        <f t="shared" si="44"/>
        <v>0</v>
      </c>
    </row>
    <row r="2879" spans="1:5" x14ac:dyDescent="0.25">
      <c r="A2879" s="60">
        <v>432</v>
      </c>
      <c r="B2879" s="60" t="s">
        <v>120</v>
      </c>
      <c r="C2879" s="60">
        <v>130</v>
      </c>
      <c r="D2879" s="60">
        <v>0</v>
      </c>
      <c r="E2879" s="60">
        <f t="shared" si="44"/>
        <v>0</v>
      </c>
    </row>
    <row r="2880" spans="1:5" x14ac:dyDescent="0.25">
      <c r="A2880" s="60">
        <v>432</v>
      </c>
      <c r="B2880" s="60" t="s">
        <v>120</v>
      </c>
      <c r="C2880" s="60">
        <v>140</v>
      </c>
      <c r="D2880" s="60">
        <v>11580</v>
      </c>
      <c r="E2880" s="60">
        <f t="shared" si="44"/>
        <v>-11580</v>
      </c>
    </row>
    <row r="2881" spans="1:5" x14ac:dyDescent="0.25">
      <c r="A2881" s="60">
        <v>432</v>
      </c>
      <c r="B2881" s="60" t="s">
        <v>120</v>
      </c>
      <c r="C2881" s="60">
        <v>150</v>
      </c>
      <c r="D2881" s="60">
        <v>0</v>
      </c>
      <c r="E2881" s="60">
        <f t="shared" si="44"/>
        <v>0</v>
      </c>
    </row>
    <row r="2882" spans="1:5" x14ac:dyDescent="0.25">
      <c r="A2882" s="60">
        <v>432</v>
      </c>
      <c r="B2882" s="60" t="s">
        <v>120</v>
      </c>
      <c r="C2882" s="60">
        <v>200</v>
      </c>
      <c r="D2882" s="60">
        <v>0</v>
      </c>
      <c r="E2882" s="60">
        <f t="shared" ref="E2882:E2945" si="45">IF(C2882&lt;100,D2882,D2882*-1)</f>
        <v>0</v>
      </c>
    </row>
    <row r="2883" spans="1:5" x14ac:dyDescent="0.25">
      <c r="A2883" s="60">
        <v>432</v>
      </c>
      <c r="B2883" s="60" t="s">
        <v>120</v>
      </c>
      <c r="C2883" s="60">
        <v>220</v>
      </c>
      <c r="D2883" s="60">
        <v>0</v>
      </c>
      <c r="E2883" s="60">
        <f t="shared" si="45"/>
        <v>0</v>
      </c>
    </row>
    <row r="2884" spans="1:5" x14ac:dyDescent="0.25">
      <c r="A2884" s="60">
        <v>432</v>
      </c>
      <c r="B2884" s="60" t="s">
        <v>120</v>
      </c>
      <c r="C2884" s="60">
        <v>230</v>
      </c>
      <c r="D2884" s="60">
        <v>0</v>
      </c>
      <c r="E2884" s="60">
        <f t="shared" si="45"/>
        <v>0</v>
      </c>
    </row>
    <row r="2885" spans="1:5" x14ac:dyDescent="0.25">
      <c r="A2885" s="60">
        <v>432</v>
      </c>
      <c r="B2885" s="60" t="s">
        <v>120</v>
      </c>
      <c r="C2885" s="60">
        <v>260</v>
      </c>
      <c r="D2885" s="60">
        <v>0</v>
      </c>
      <c r="E2885" s="60">
        <f t="shared" si="45"/>
        <v>0</v>
      </c>
    </row>
    <row r="2886" spans="1:5" x14ac:dyDescent="0.25">
      <c r="A2886" s="60">
        <v>433</v>
      </c>
      <c r="B2886" s="60" t="s">
        <v>117</v>
      </c>
      <c r="C2886" s="60">
        <v>1</v>
      </c>
      <c r="D2886" s="60">
        <v>2764608</v>
      </c>
      <c r="E2886" s="60">
        <f t="shared" si="45"/>
        <v>2764608</v>
      </c>
    </row>
    <row r="2887" spans="1:5" x14ac:dyDescent="0.25">
      <c r="A2887" s="60">
        <v>433</v>
      </c>
      <c r="B2887" s="60" t="s">
        <v>117</v>
      </c>
      <c r="C2887" s="60">
        <v>10</v>
      </c>
      <c r="D2887" s="60">
        <v>24054985</v>
      </c>
      <c r="E2887" s="60">
        <f t="shared" si="45"/>
        <v>24054985</v>
      </c>
    </row>
    <row r="2888" spans="1:5" x14ac:dyDescent="0.25">
      <c r="A2888" s="60">
        <v>433</v>
      </c>
      <c r="B2888" s="60" t="s">
        <v>117</v>
      </c>
      <c r="C2888" s="60">
        <v>20</v>
      </c>
      <c r="D2888" s="60">
        <v>0</v>
      </c>
      <c r="E2888" s="60">
        <f t="shared" si="45"/>
        <v>0</v>
      </c>
    </row>
    <row r="2889" spans="1:5" x14ac:dyDescent="0.25">
      <c r="A2889" s="60">
        <v>433</v>
      </c>
      <c r="B2889" s="60" t="s">
        <v>117</v>
      </c>
      <c r="C2889" s="60">
        <v>50</v>
      </c>
      <c r="D2889" s="60">
        <v>0</v>
      </c>
      <c r="E2889" s="60">
        <f t="shared" si="45"/>
        <v>0</v>
      </c>
    </row>
    <row r="2890" spans="1:5" x14ac:dyDescent="0.25">
      <c r="A2890" s="60">
        <v>433</v>
      </c>
      <c r="B2890" s="60" t="s">
        <v>117</v>
      </c>
      <c r="C2890" s="60">
        <v>110</v>
      </c>
      <c r="D2890" s="60">
        <v>52200</v>
      </c>
      <c r="E2890" s="60">
        <f t="shared" si="45"/>
        <v>-52200</v>
      </c>
    </row>
    <row r="2891" spans="1:5" x14ac:dyDescent="0.25">
      <c r="A2891" s="60">
        <v>433</v>
      </c>
      <c r="B2891" s="60" t="s">
        <v>117</v>
      </c>
      <c r="C2891" s="60">
        <v>130</v>
      </c>
      <c r="D2891" s="60">
        <v>0</v>
      </c>
      <c r="E2891" s="60">
        <f t="shared" si="45"/>
        <v>0</v>
      </c>
    </row>
    <row r="2892" spans="1:5" x14ac:dyDescent="0.25">
      <c r="A2892" s="60">
        <v>433</v>
      </c>
      <c r="B2892" s="60" t="s">
        <v>117</v>
      </c>
      <c r="C2892" s="60">
        <v>140</v>
      </c>
      <c r="D2892" s="60">
        <v>23886440</v>
      </c>
      <c r="E2892" s="60">
        <f t="shared" si="45"/>
        <v>-23886440</v>
      </c>
    </row>
    <row r="2893" spans="1:5" x14ac:dyDescent="0.25">
      <c r="A2893" s="60">
        <v>433</v>
      </c>
      <c r="B2893" s="60" t="s">
        <v>117</v>
      </c>
      <c r="C2893" s="60">
        <v>150</v>
      </c>
      <c r="D2893" s="60">
        <v>0</v>
      </c>
      <c r="E2893" s="60">
        <f t="shared" si="45"/>
        <v>0</v>
      </c>
    </row>
    <row r="2894" spans="1:5" x14ac:dyDescent="0.25">
      <c r="A2894" s="60">
        <v>433</v>
      </c>
      <c r="B2894" s="60" t="s">
        <v>117</v>
      </c>
      <c r="C2894" s="60">
        <v>160</v>
      </c>
      <c r="D2894" s="60">
        <v>0</v>
      </c>
      <c r="E2894" s="60">
        <f t="shared" si="45"/>
        <v>0</v>
      </c>
    </row>
    <row r="2895" spans="1:5" x14ac:dyDescent="0.25">
      <c r="A2895" s="60">
        <v>433</v>
      </c>
      <c r="B2895" s="60" t="s">
        <v>117</v>
      </c>
      <c r="C2895" s="60">
        <v>200</v>
      </c>
      <c r="D2895" s="60">
        <v>119673</v>
      </c>
      <c r="E2895" s="60">
        <f t="shared" si="45"/>
        <v>-119673</v>
      </c>
    </row>
    <row r="2896" spans="1:5" x14ac:dyDescent="0.25">
      <c r="A2896" s="60">
        <v>433</v>
      </c>
      <c r="B2896" s="60" t="s">
        <v>117</v>
      </c>
      <c r="C2896" s="60">
        <v>210</v>
      </c>
      <c r="D2896" s="60">
        <v>217638</v>
      </c>
      <c r="E2896" s="60">
        <f t="shared" si="45"/>
        <v>-217638</v>
      </c>
    </row>
    <row r="2897" spans="1:5" x14ac:dyDescent="0.25">
      <c r="A2897" s="60">
        <v>433</v>
      </c>
      <c r="B2897" s="60" t="s">
        <v>117</v>
      </c>
      <c r="C2897" s="60">
        <v>230</v>
      </c>
      <c r="D2897" s="60">
        <v>0</v>
      </c>
      <c r="E2897" s="60">
        <f t="shared" si="45"/>
        <v>0</v>
      </c>
    </row>
    <row r="2898" spans="1:5" x14ac:dyDescent="0.25">
      <c r="A2898" s="60">
        <v>433</v>
      </c>
      <c r="B2898" s="60" t="s">
        <v>117</v>
      </c>
      <c r="C2898" s="60">
        <v>260</v>
      </c>
      <c r="D2898" s="60">
        <v>0</v>
      </c>
      <c r="E2898" s="60">
        <f t="shared" si="45"/>
        <v>0</v>
      </c>
    </row>
    <row r="2899" spans="1:5" x14ac:dyDescent="0.25">
      <c r="A2899" s="60">
        <v>433</v>
      </c>
      <c r="B2899" s="60" t="s">
        <v>117</v>
      </c>
      <c r="C2899" s="60">
        <v>298</v>
      </c>
      <c r="D2899" s="60">
        <v>0</v>
      </c>
      <c r="E2899" s="60">
        <f t="shared" si="45"/>
        <v>0</v>
      </c>
    </row>
    <row r="2900" spans="1:5" x14ac:dyDescent="0.25">
      <c r="A2900" s="60">
        <v>433</v>
      </c>
      <c r="B2900" s="60" t="s">
        <v>118</v>
      </c>
      <c r="C2900" s="60">
        <v>1</v>
      </c>
      <c r="D2900" s="60">
        <v>0</v>
      </c>
      <c r="E2900" s="60">
        <f t="shared" si="45"/>
        <v>0</v>
      </c>
    </row>
    <row r="2901" spans="1:5" x14ac:dyDescent="0.25">
      <c r="A2901" s="60">
        <v>433</v>
      </c>
      <c r="B2901" s="60" t="s">
        <v>118</v>
      </c>
      <c r="C2901" s="60">
        <v>10</v>
      </c>
      <c r="D2901" s="60">
        <v>229500</v>
      </c>
      <c r="E2901" s="60">
        <f t="shared" si="45"/>
        <v>229500</v>
      </c>
    </row>
    <row r="2902" spans="1:5" x14ac:dyDescent="0.25">
      <c r="A2902" s="60">
        <v>433</v>
      </c>
      <c r="B2902" s="60" t="s">
        <v>118</v>
      </c>
      <c r="C2902" s="60">
        <v>20</v>
      </c>
      <c r="D2902" s="60">
        <v>0</v>
      </c>
      <c r="E2902" s="60">
        <f t="shared" si="45"/>
        <v>0</v>
      </c>
    </row>
    <row r="2903" spans="1:5" x14ac:dyDescent="0.25">
      <c r="A2903" s="60">
        <v>433</v>
      </c>
      <c r="B2903" s="60" t="s">
        <v>118</v>
      </c>
      <c r="C2903" s="60">
        <v>50</v>
      </c>
      <c r="D2903" s="60">
        <v>0</v>
      </c>
      <c r="E2903" s="60">
        <f t="shared" si="45"/>
        <v>0</v>
      </c>
    </row>
    <row r="2904" spans="1:5" x14ac:dyDescent="0.25">
      <c r="A2904" s="60">
        <v>433</v>
      </c>
      <c r="B2904" s="60" t="s">
        <v>118</v>
      </c>
      <c r="C2904" s="60">
        <v>70</v>
      </c>
      <c r="D2904" s="60">
        <v>-147960</v>
      </c>
      <c r="E2904" s="60">
        <f t="shared" si="45"/>
        <v>-147960</v>
      </c>
    </row>
    <row r="2905" spans="1:5" x14ac:dyDescent="0.25">
      <c r="A2905" s="60">
        <v>433</v>
      </c>
      <c r="B2905" s="60" t="s">
        <v>118</v>
      </c>
      <c r="C2905" s="60">
        <v>110</v>
      </c>
      <c r="D2905" s="60">
        <v>0</v>
      </c>
      <c r="E2905" s="60">
        <f t="shared" si="45"/>
        <v>0</v>
      </c>
    </row>
    <row r="2906" spans="1:5" x14ac:dyDescent="0.25">
      <c r="A2906" s="60">
        <v>433</v>
      </c>
      <c r="B2906" s="60" t="s">
        <v>118</v>
      </c>
      <c r="C2906" s="60">
        <v>120</v>
      </c>
      <c r="D2906" s="60">
        <v>0</v>
      </c>
      <c r="E2906" s="60">
        <f t="shared" si="45"/>
        <v>0</v>
      </c>
    </row>
    <row r="2907" spans="1:5" x14ac:dyDescent="0.25">
      <c r="A2907" s="60">
        <v>433</v>
      </c>
      <c r="B2907" s="60" t="s">
        <v>118</v>
      </c>
      <c r="C2907" s="60">
        <v>130</v>
      </c>
      <c r="D2907" s="60">
        <v>0</v>
      </c>
      <c r="E2907" s="60">
        <f t="shared" si="45"/>
        <v>0</v>
      </c>
    </row>
    <row r="2908" spans="1:5" x14ac:dyDescent="0.25">
      <c r="A2908" s="60">
        <v>433</v>
      </c>
      <c r="B2908" s="60" t="s">
        <v>118</v>
      </c>
      <c r="C2908" s="60">
        <v>140</v>
      </c>
      <c r="D2908" s="60">
        <v>75940</v>
      </c>
      <c r="E2908" s="60">
        <f t="shared" si="45"/>
        <v>-75940</v>
      </c>
    </row>
    <row r="2909" spans="1:5" x14ac:dyDescent="0.25">
      <c r="A2909" s="60">
        <v>433</v>
      </c>
      <c r="B2909" s="60" t="s">
        <v>118</v>
      </c>
      <c r="C2909" s="60">
        <v>150</v>
      </c>
      <c r="D2909" s="60">
        <v>0</v>
      </c>
      <c r="E2909" s="60">
        <f t="shared" si="45"/>
        <v>0</v>
      </c>
    </row>
    <row r="2910" spans="1:5" x14ac:dyDescent="0.25">
      <c r="A2910" s="60">
        <v>433</v>
      </c>
      <c r="B2910" s="60" t="s">
        <v>118</v>
      </c>
      <c r="C2910" s="60">
        <v>160</v>
      </c>
      <c r="D2910" s="60">
        <v>0</v>
      </c>
      <c r="E2910" s="60">
        <f t="shared" si="45"/>
        <v>0</v>
      </c>
    </row>
    <row r="2911" spans="1:5" x14ac:dyDescent="0.25">
      <c r="A2911" s="60">
        <v>433</v>
      </c>
      <c r="B2911" s="60" t="s">
        <v>118</v>
      </c>
      <c r="C2911" s="60">
        <v>200</v>
      </c>
      <c r="D2911" s="60">
        <v>768</v>
      </c>
      <c r="E2911" s="60">
        <f t="shared" si="45"/>
        <v>-768</v>
      </c>
    </row>
    <row r="2912" spans="1:5" x14ac:dyDescent="0.25">
      <c r="A2912" s="60">
        <v>433</v>
      </c>
      <c r="B2912" s="60" t="s">
        <v>118</v>
      </c>
      <c r="C2912" s="60">
        <v>210</v>
      </c>
      <c r="D2912" s="60">
        <v>0</v>
      </c>
      <c r="E2912" s="60">
        <f t="shared" si="45"/>
        <v>0</v>
      </c>
    </row>
    <row r="2913" spans="1:5" x14ac:dyDescent="0.25">
      <c r="A2913" s="60">
        <v>433</v>
      </c>
      <c r="B2913" s="60" t="s">
        <v>118</v>
      </c>
      <c r="C2913" s="60">
        <v>230</v>
      </c>
      <c r="D2913" s="60">
        <v>5600</v>
      </c>
      <c r="E2913" s="60">
        <f t="shared" si="45"/>
        <v>-5600</v>
      </c>
    </row>
    <row r="2914" spans="1:5" x14ac:dyDescent="0.25">
      <c r="A2914" s="60">
        <v>433</v>
      </c>
      <c r="B2914" s="60" t="s">
        <v>118</v>
      </c>
      <c r="C2914" s="60">
        <v>260</v>
      </c>
      <c r="D2914" s="60">
        <v>0</v>
      </c>
      <c r="E2914" s="60">
        <f t="shared" si="45"/>
        <v>0</v>
      </c>
    </row>
    <row r="2915" spans="1:5" x14ac:dyDescent="0.25">
      <c r="A2915" s="60">
        <v>433</v>
      </c>
      <c r="B2915" s="60" t="s">
        <v>118</v>
      </c>
      <c r="C2915" s="60">
        <v>298</v>
      </c>
      <c r="D2915" s="60">
        <v>0</v>
      </c>
      <c r="E2915" s="60">
        <f t="shared" si="45"/>
        <v>0</v>
      </c>
    </row>
    <row r="2916" spans="1:5" x14ac:dyDescent="0.25">
      <c r="A2916" s="60">
        <v>433</v>
      </c>
      <c r="B2916" s="60" t="s">
        <v>119</v>
      </c>
      <c r="C2916" s="60">
        <v>1</v>
      </c>
      <c r="D2916" s="60">
        <v>9081986</v>
      </c>
      <c r="E2916" s="60">
        <f t="shared" si="45"/>
        <v>9081986</v>
      </c>
    </row>
    <row r="2917" spans="1:5" x14ac:dyDescent="0.25">
      <c r="A2917" s="60">
        <v>433</v>
      </c>
      <c r="B2917" s="60" t="s">
        <v>119</v>
      </c>
      <c r="C2917" s="60">
        <v>10</v>
      </c>
      <c r="D2917" s="60">
        <v>32625720</v>
      </c>
      <c r="E2917" s="60">
        <f t="shared" si="45"/>
        <v>32625720</v>
      </c>
    </row>
    <row r="2918" spans="1:5" x14ac:dyDescent="0.25">
      <c r="A2918" s="60">
        <v>433</v>
      </c>
      <c r="B2918" s="60" t="s">
        <v>119</v>
      </c>
      <c r="C2918" s="60">
        <v>20</v>
      </c>
      <c r="D2918" s="60">
        <v>0</v>
      </c>
      <c r="E2918" s="60">
        <f t="shared" si="45"/>
        <v>0</v>
      </c>
    </row>
    <row r="2919" spans="1:5" x14ac:dyDescent="0.25">
      <c r="A2919" s="60">
        <v>433</v>
      </c>
      <c r="B2919" s="60" t="s">
        <v>119</v>
      </c>
      <c r="C2919" s="60">
        <v>50</v>
      </c>
      <c r="D2919" s="60">
        <v>0</v>
      </c>
      <c r="E2919" s="60">
        <f t="shared" si="45"/>
        <v>0</v>
      </c>
    </row>
    <row r="2920" spans="1:5" x14ac:dyDescent="0.25">
      <c r="A2920" s="60">
        <v>433</v>
      </c>
      <c r="B2920" s="60" t="s">
        <v>119</v>
      </c>
      <c r="C2920" s="60">
        <v>70</v>
      </c>
      <c r="D2920" s="60">
        <v>230994</v>
      </c>
      <c r="E2920" s="60">
        <f t="shared" si="45"/>
        <v>230994</v>
      </c>
    </row>
    <row r="2921" spans="1:5" x14ac:dyDescent="0.25">
      <c r="A2921" s="60">
        <v>433</v>
      </c>
      <c r="B2921" s="60" t="s">
        <v>119</v>
      </c>
      <c r="C2921" s="60">
        <v>110</v>
      </c>
      <c r="D2921" s="60">
        <v>9312980</v>
      </c>
      <c r="E2921" s="60">
        <f t="shared" si="45"/>
        <v>-9312980</v>
      </c>
    </row>
    <row r="2922" spans="1:5" x14ac:dyDescent="0.25">
      <c r="A2922" s="60">
        <v>433</v>
      </c>
      <c r="B2922" s="60" t="s">
        <v>119</v>
      </c>
      <c r="C2922" s="60">
        <v>120</v>
      </c>
      <c r="D2922" s="60">
        <v>0</v>
      </c>
      <c r="E2922" s="60">
        <f t="shared" si="45"/>
        <v>0</v>
      </c>
    </row>
    <row r="2923" spans="1:5" x14ac:dyDescent="0.25">
      <c r="A2923" s="60">
        <v>433</v>
      </c>
      <c r="B2923" s="60" t="s">
        <v>119</v>
      </c>
      <c r="C2923" s="60">
        <v>130</v>
      </c>
      <c r="D2923" s="60">
        <v>0</v>
      </c>
      <c r="E2923" s="60">
        <f t="shared" si="45"/>
        <v>0</v>
      </c>
    </row>
    <row r="2924" spans="1:5" x14ac:dyDescent="0.25">
      <c r="A2924" s="60">
        <v>433</v>
      </c>
      <c r="B2924" s="60" t="s">
        <v>119</v>
      </c>
      <c r="C2924" s="60">
        <v>140</v>
      </c>
      <c r="D2924" s="60">
        <v>18080</v>
      </c>
      <c r="E2924" s="60">
        <f t="shared" si="45"/>
        <v>-18080</v>
      </c>
    </row>
    <row r="2925" spans="1:5" x14ac:dyDescent="0.25">
      <c r="A2925" s="60">
        <v>433</v>
      </c>
      <c r="B2925" s="60" t="s">
        <v>119</v>
      </c>
      <c r="C2925" s="60">
        <v>150</v>
      </c>
      <c r="D2925" s="60">
        <v>0</v>
      </c>
      <c r="E2925" s="60">
        <f t="shared" si="45"/>
        <v>0</v>
      </c>
    </row>
    <row r="2926" spans="1:5" x14ac:dyDescent="0.25">
      <c r="A2926" s="60">
        <v>433</v>
      </c>
      <c r="B2926" s="60" t="s">
        <v>119</v>
      </c>
      <c r="C2926" s="60">
        <v>160</v>
      </c>
      <c r="D2926" s="60">
        <v>0</v>
      </c>
      <c r="E2926" s="60">
        <f t="shared" si="45"/>
        <v>0</v>
      </c>
    </row>
    <row r="2927" spans="1:5" x14ac:dyDescent="0.25">
      <c r="A2927" s="60">
        <v>433</v>
      </c>
      <c r="B2927" s="60" t="s">
        <v>119</v>
      </c>
      <c r="C2927" s="60">
        <v>200</v>
      </c>
      <c r="D2927" s="60">
        <v>162961</v>
      </c>
      <c r="E2927" s="60">
        <f t="shared" si="45"/>
        <v>-162961</v>
      </c>
    </row>
    <row r="2928" spans="1:5" x14ac:dyDescent="0.25">
      <c r="A2928" s="60">
        <v>433</v>
      </c>
      <c r="B2928" s="60" t="s">
        <v>119</v>
      </c>
      <c r="C2928" s="60">
        <v>210</v>
      </c>
      <c r="D2928" s="60">
        <v>112476</v>
      </c>
      <c r="E2928" s="60">
        <f t="shared" si="45"/>
        <v>-112476</v>
      </c>
    </row>
    <row r="2929" spans="1:5" x14ac:dyDescent="0.25">
      <c r="A2929" s="60">
        <v>433</v>
      </c>
      <c r="B2929" s="60" t="s">
        <v>119</v>
      </c>
      <c r="C2929" s="60">
        <v>230</v>
      </c>
      <c r="D2929" s="60">
        <v>150023</v>
      </c>
      <c r="E2929" s="60">
        <f t="shared" si="45"/>
        <v>-150023</v>
      </c>
    </row>
    <row r="2930" spans="1:5" x14ac:dyDescent="0.25">
      <c r="A2930" s="60">
        <v>433</v>
      </c>
      <c r="B2930" s="60" t="s">
        <v>119</v>
      </c>
      <c r="C2930" s="60">
        <v>260</v>
      </c>
      <c r="D2930" s="60">
        <v>0</v>
      </c>
      <c r="E2930" s="60">
        <f t="shared" si="45"/>
        <v>0</v>
      </c>
    </row>
    <row r="2931" spans="1:5" x14ac:dyDescent="0.25">
      <c r="A2931" s="60">
        <v>433</v>
      </c>
      <c r="B2931" s="60" t="s">
        <v>120</v>
      </c>
      <c r="C2931" s="60">
        <v>1</v>
      </c>
      <c r="D2931" s="60">
        <v>53720654</v>
      </c>
      <c r="E2931" s="60">
        <f t="shared" si="45"/>
        <v>53720654</v>
      </c>
    </row>
    <row r="2932" spans="1:5" x14ac:dyDescent="0.25">
      <c r="A2932" s="60">
        <v>433</v>
      </c>
      <c r="B2932" s="60" t="s">
        <v>120</v>
      </c>
      <c r="C2932" s="60">
        <v>10</v>
      </c>
      <c r="D2932" s="60">
        <v>68482690</v>
      </c>
      <c r="E2932" s="60">
        <f t="shared" si="45"/>
        <v>68482690</v>
      </c>
    </row>
    <row r="2933" spans="1:5" x14ac:dyDescent="0.25">
      <c r="A2933" s="60">
        <v>433</v>
      </c>
      <c r="B2933" s="60" t="s">
        <v>120</v>
      </c>
      <c r="C2933" s="60">
        <v>50</v>
      </c>
      <c r="D2933" s="60">
        <v>14829520</v>
      </c>
      <c r="E2933" s="60">
        <f t="shared" si="45"/>
        <v>14829520</v>
      </c>
    </row>
    <row r="2934" spans="1:5" x14ac:dyDescent="0.25">
      <c r="A2934" s="60">
        <v>433</v>
      </c>
      <c r="B2934" s="60" t="s">
        <v>120</v>
      </c>
      <c r="C2934" s="60">
        <v>70</v>
      </c>
      <c r="D2934" s="60">
        <v>303400</v>
      </c>
      <c r="E2934" s="60">
        <f t="shared" si="45"/>
        <v>303400</v>
      </c>
    </row>
    <row r="2935" spans="1:5" x14ac:dyDescent="0.25">
      <c r="A2935" s="60">
        <v>433</v>
      </c>
      <c r="B2935" s="60" t="s">
        <v>120</v>
      </c>
      <c r="C2935" s="60">
        <v>100</v>
      </c>
      <c r="D2935" s="60">
        <v>0</v>
      </c>
      <c r="E2935" s="60">
        <f t="shared" si="45"/>
        <v>0</v>
      </c>
    </row>
    <row r="2936" spans="1:5" x14ac:dyDescent="0.25">
      <c r="A2936" s="60">
        <v>433</v>
      </c>
      <c r="B2936" s="60" t="s">
        <v>120</v>
      </c>
      <c r="C2936" s="60">
        <v>110</v>
      </c>
      <c r="D2936" s="60">
        <v>26401357</v>
      </c>
      <c r="E2936" s="60">
        <f t="shared" si="45"/>
        <v>-26401357</v>
      </c>
    </row>
    <row r="2937" spans="1:5" x14ac:dyDescent="0.25">
      <c r="A2937" s="60">
        <v>433</v>
      </c>
      <c r="B2937" s="60" t="s">
        <v>120</v>
      </c>
      <c r="C2937" s="60">
        <v>120</v>
      </c>
      <c r="D2937" s="60">
        <v>0</v>
      </c>
      <c r="E2937" s="60">
        <f t="shared" si="45"/>
        <v>0</v>
      </c>
    </row>
    <row r="2938" spans="1:5" x14ac:dyDescent="0.25">
      <c r="A2938" s="60">
        <v>433</v>
      </c>
      <c r="B2938" s="60" t="s">
        <v>120</v>
      </c>
      <c r="C2938" s="60">
        <v>130</v>
      </c>
      <c r="D2938" s="60">
        <v>23103</v>
      </c>
      <c r="E2938" s="60">
        <f t="shared" si="45"/>
        <v>-23103</v>
      </c>
    </row>
    <row r="2939" spans="1:5" x14ac:dyDescent="0.25">
      <c r="A2939" s="60">
        <v>433</v>
      </c>
      <c r="B2939" s="60" t="s">
        <v>120</v>
      </c>
      <c r="C2939" s="60">
        <v>140</v>
      </c>
      <c r="D2939" s="60">
        <v>3160320</v>
      </c>
      <c r="E2939" s="60">
        <f t="shared" si="45"/>
        <v>-3160320</v>
      </c>
    </row>
    <row r="2940" spans="1:5" x14ac:dyDescent="0.25">
      <c r="A2940" s="60">
        <v>433</v>
      </c>
      <c r="B2940" s="60" t="s">
        <v>120</v>
      </c>
      <c r="C2940" s="60">
        <v>141</v>
      </c>
      <c r="D2940" s="60">
        <v>52137740</v>
      </c>
      <c r="E2940" s="60">
        <f t="shared" si="45"/>
        <v>-52137740</v>
      </c>
    </row>
    <row r="2941" spans="1:5" x14ac:dyDescent="0.25">
      <c r="A2941" s="60">
        <v>433</v>
      </c>
      <c r="B2941" s="60" t="s">
        <v>120</v>
      </c>
      <c r="C2941" s="60">
        <v>150</v>
      </c>
      <c r="D2941" s="60">
        <v>0</v>
      </c>
      <c r="E2941" s="60">
        <f t="shared" si="45"/>
        <v>0</v>
      </c>
    </row>
    <row r="2942" spans="1:5" x14ac:dyDescent="0.25">
      <c r="A2942" s="60">
        <v>433</v>
      </c>
      <c r="B2942" s="60" t="s">
        <v>120</v>
      </c>
      <c r="C2942" s="60">
        <v>160</v>
      </c>
      <c r="D2942" s="60">
        <v>0</v>
      </c>
      <c r="E2942" s="60">
        <f t="shared" si="45"/>
        <v>0</v>
      </c>
    </row>
    <row r="2943" spans="1:5" x14ac:dyDescent="0.25">
      <c r="A2943" s="60">
        <v>433</v>
      </c>
      <c r="B2943" s="60" t="s">
        <v>120</v>
      </c>
      <c r="C2943" s="60">
        <v>200</v>
      </c>
      <c r="D2943" s="60">
        <v>673267</v>
      </c>
      <c r="E2943" s="60">
        <f t="shared" si="45"/>
        <v>-673267</v>
      </c>
    </row>
    <row r="2944" spans="1:5" x14ac:dyDescent="0.25">
      <c r="A2944" s="60">
        <v>433</v>
      </c>
      <c r="B2944" s="60" t="s">
        <v>120</v>
      </c>
      <c r="C2944" s="60">
        <v>210</v>
      </c>
      <c r="D2944" s="60">
        <v>3577</v>
      </c>
      <c r="E2944" s="60">
        <f t="shared" si="45"/>
        <v>-3577</v>
      </c>
    </row>
    <row r="2945" spans="1:5" x14ac:dyDescent="0.25">
      <c r="A2945" s="60">
        <v>433</v>
      </c>
      <c r="B2945" s="60" t="s">
        <v>120</v>
      </c>
      <c r="C2945" s="60">
        <v>220</v>
      </c>
      <c r="D2945" s="60">
        <v>0</v>
      </c>
      <c r="E2945" s="60">
        <f t="shared" si="45"/>
        <v>0</v>
      </c>
    </row>
    <row r="2946" spans="1:5" x14ac:dyDescent="0.25">
      <c r="A2946" s="60">
        <v>433</v>
      </c>
      <c r="B2946" s="60" t="s">
        <v>120</v>
      </c>
      <c r="C2946" s="60">
        <v>230</v>
      </c>
      <c r="D2946" s="60">
        <v>489379</v>
      </c>
      <c r="E2946" s="60">
        <f t="shared" ref="E2946:E3009" si="46">IF(C2946&lt;100,D2946,D2946*-1)</f>
        <v>-489379</v>
      </c>
    </row>
    <row r="2947" spans="1:5" x14ac:dyDescent="0.25">
      <c r="A2947" s="60">
        <v>433</v>
      </c>
      <c r="B2947" s="60" t="s">
        <v>120</v>
      </c>
      <c r="C2947" s="60">
        <v>260</v>
      </c>
      <c r="D2947" s="60">
        <v>0</v>
      </c>
      <c r="E2947" s="60">
        <f t="shared" si="46"/>
        <v>0</v>
      </c>
    </row>
    <row r="2948" spans="1:5" x14ac:dyDescent="0.25">
      <c r="A2948" s="60">
        <v>433</v>
      </c>
      <c r="B2948" s="60" t="s">
        <v>120</v>
      </c>
      <c r="C2948" s="60">
        <v>298</v>
      </c>
      <c r="D2948" s="60">
        <v>0</v>
      </c>
      <c r="E2948" s="60">
        <f t="shared" si="46"/>
        <v>0</v>
      </c>
    </row>
    <row r="2949" spans="1:5" x14ac:dyDescent="0.25">
      <c r="A2949" s="60">
        <v>434</v>
      </c>
      <c r="B2949" s="60" t="s">
        <v>117</v>
      </c>
      <c r="C2949" s="60">
        <v>50</v>
      </c>
      <c r="D2949" s="60">
        <v>0</v>
      </c>
      <c r="E2949" s="60">
        <f t="shared" si="46"/>
        <v>0</v>
      </c>
    </row>
    <row r="2950" spans="1:5" x14ac:dyDescent="0.25">
      <c r="A2950" s="60">
        <v>434</v>
      </c>
      <c r="B2950" s="60" t="s">
        <v>118</v>
      </c>
      <c r="C2950" s="60">
        <v>1</v>
      </c>
      <c r="D2950" s="60">
        <v>16529</v>
      </c>
      <c r="E2950" s="60">
        <f t="shared" si="46"/>
        <v>16529</v>
      </c>
    </row>
    <row r="2951" spans="1:5" x14ac:dyDescent="0.25">
      <c r="A2951" s="60">
        <v>434</v>
      </c>
      <c r="B2951" s="60" t="s">
        <v>118</v>
      </c>
      <c r="C2951" s="60">
        <v>50</v>
      </c>
      <c r="D2951" s="60">
        <v>173900</v>
      </c>
      <c r="E2951" s="60">
        <f t="shared" si="46"/>
        <v>173900</v>
      </c>
    </row>
    <row r="2952" spans="1:5" x14ac:dyDescent="0.25">
      <c r="A2952" s="60">
        <v>434</v>
      </c>
      <c r="B2952" s="60" t="s">
        <v>118</v>
      </c>
      <c r="C2952" s="60">
        <v>110</v>
      </c>
      <c r="D2952" s="60">
        <v>2619</v>
      </c>
      <c r="E2952" s="60">
        <f t="shared" si="46"/>
        <v>-2619</v>
      </c>
    </row>
    <row r="2953" spans="1:5" x14ac:dyDescent="0.25">
      <c r="A2953" s="60">
        <v>434</v>
      </c>
      <c r="B2953" s="60" t="s">
        <v>118</v>
      </c>
      <c r="C2953" s="60">
        <v>130</v>
      </c>
      <c r="D2953" s="60">
        <v>169221</v>
      </c>
      <c r="E2953" s="60">
        <f t="shared" si="46"/>
        <v>-169221</v>
      </c>
    </row>
    <row r="2954" spans="1:5" x14ac:dyDescent="0.25">
      <c r="A2954" s="60">
        <v>434</v>
      </c>
      <c r="B2954" s="60" t="s">
        <v>119</v>
      </c>
      <c r="C2954" s="60">
        <v>50</v>
      </c>
      <c r="D2954" s="60">
        <v>0</v>
      </c>
      <c r="E2954" s="60">
        <f t="shared" si="46"/>
        <v>0</v>
      </c>
    </row>
    <row r="2955" spans="1:5" x14ac:dyDescent="0.25">
      <c r="A2955" s="60">
        <v>434</v>
      </c>
      <c r="B2955" s="60" t="s">
        <v>120</v>
      </c>
      <c r="C2955" s="60">
        <v>1</v>
      </c>
      <c r="D2955" s="60">
        <v>388111</v>
      </c>
      <c r="E2955" s="60">
        <f t="shared" si="46"/>
        <v>388111</v>
      </c>
    </row>
    <row r="2956" spans="1:5" x14ac:dyDescent="0.25">
      <c r="A2956" s="60">
        <v>434</v>
      </c>
      <c r="B2956" s="60" t="s">
        <v>120</v>
      </c>
      <c r="C2956" s="60">
        <v>50</v>
      </c>
      <c r="D2956" s="60">
        <v>3313420</v>
      </c>
      <c r="E2956" s="60">
        <f t="shared" si="46"/>
        <v>3313420</v>
      </c>
    </row>
    <row r="2957" spans="1:5" x14ac:dyDescent="0.25">
      <c r="A2957" s="60">
        <v>434</v>
      </c>
      <c r="B2957" s="60" t="s">
        <v>120</v>
      </c>
      <c r="C2957" s="60">
        <v>110</v>
      </c>
      <c r="D2957" s="60">
        <v>1419278</v>
      </c>
      <c r="E2957" s="60">
        <f t="shared" si="46"/>
        <v>-1419278</v>
      </c>
    </row>
    <row r="2958" spans="1:5" x14ac:dyDescent="0.25">
      <c r="A2958" s="60">
        <v>434</v>
      </c>
      <c r="B2958" s="60" t="s">
        <v>120</v>
      </c>
      <c r="C2958" s="60">
        <v>130</v>
      </c>
      <c r="D2958" s="60">
        <v>2091724</v>
      </c>
      <c r="E2958" s="60">
        <f t="shared" si="46"/>
        <v>-2091724</v>
      </c>
    </row>
    <row r="2959" spans="1:5" x14ac:dyDescent="0.25">
      <c r="A2959" s="60">
        <v>434</v>
      </c>
      <c r="B2959" s="60" t="s">
        <v>120</v>
      </c>
      <c r="C2959" s="60">
        <v>140</v>
      </c>
      <c r="D2959" s="60">
        <v>0</v>
      </c>
      <c r="E2959" s="60">
        <f t="shared" si="46"/>
        <v>0</v>
      </c>
    </row>
    <row r="2960" spans="1:5" x14ac:dyDescent="0.25">
      <c r="A2960" s="60">
        <v>442</v>
      </c>
      <c r="B2960" s="60" t="s">
        <v>117</v>
      </c>
      <c r="C2960" s="60">
        <v>1</v>
      </c>
      <c r="D2960" s="60">
        <v>189034</v>
      </c>
      <c r="E2960" s="60">
        <f t="shared" si="46"/>
        <v>189034</v>
      </c>
    </row>
    <row r="2961" spans="1:5" x14ac:dyDescent="0.25">
      <c r="A2961" s="60">
        <v>442</v>
      </c>
      <c r="B2961" s="60" t="s">
        <v>117</v>
      </c>
      <c r="C2961" s="60">
        <v>10</v>
      </c>
      <c r="D2961" s="60">
        <v>21445100</v>
      </c>
      <c r="E2961" s="60">
        <f t="shared" si="46"/>
        <v>21445100</v>
      </c>
    </row>
    <row r="2962" spans="1:5" x14ac:dyDescent="0.25">
      <c r="A2962" s="60">
        <v>442</v>
      </c>
      <c r="B2962" s="60" t="s">
        <v>117</v>
      </c>
      <c r="C2962" s="60">
        <v>20</v>
      </c>
      <c r="D2962" s="60">
        <v>0</v>
      </c>
      <c r="E2962" s="60">
        <f t="shared" si="46"/>
        <v>0</v>
      </c>
    </row>
    <row r="2963" spans="1:5" x14ac:dyDescent="0.25">
      <c r="A2963" s="60">
        <v>442</v>
      </c>
      <c r="B2963" s="60" t="s">
        <v>117</v>
      </c>
      <c r="C2963" s="60">
        <v>50</v>
      </c>
      <c r="D2963" s="60">
        <v>0</v>
      </c>
      <c r="E2963" s="60">
        <f t="shared" si="46"/>
        <v>0</v>
      </c>
    </row>
    <row r="2964" spans="1:5" x14ac:dyDescent="0.25">
      <c r="A2964" s="60">
        <v>442</v>
      </c>
      <c r="B2964" s="60" t="s">
        <v>117</v>
      </c>
      <c r="C2964" s="60">
        <v>70</v>
      </c>
      <c r="D2964" s="60">
        <v>466673</v>
      </c>
      <c r="E2964" s="60">
        <f t="shared" si="46"/>
        <v>466673</v>
      </c>
    </row>
    <row r="2965" spans="1:5" x14ac:dyDescent="0.25">
      <c r="A2965" s="60">
        <v>442</v>
      </c>
      <c r="B2965" s="60" t="s">
        <v>117</v>
      </c>
      <c r="C2965" s="60">
        <v>110</v>
      </c>
      <c r="D2965" s="60">
        <v>379980</v>
      </c>
      <c r="E2965" s="60">
        <f t="shared" si="46"/>
        <v>-379980</v>
      </c>
    </row>
    <row r="2966" spans="1:5" x14ac:dyDescent="0.25">
      <c r="A2966" s="60">
        <v>442</v>
      </c>
      <c r="B2966" s="60" t="s">
        <v>117</v>
      </c>
      <c r="C2966" s="60">
        <v>140</v>
      </c>
      <c r="D2966" s="60">
        <v>21360840</v>
      </c>
      <c r="E2966" s="60">
        <f t="shared" si="46"/>
        <v>-21360840</v>
      </c>
    </row>
    <row r="2967" spans="1:5" x14ac:dyDescent="0.25">
      <c r="A2967" s="60">
        <v>442</v>
      </c>
      <c r="B2967" s="60" t="s">
        <v>117</v>
      </c>
      <c r="C2967" s="60">
        <v>150</v>
      </c>
      <c r="D2967" s="60">
        <v>0</v>
      </c>
      <c r="E2967" s="60">
        <f t="shared" si="46"/>
        <v>0</v>
      </c>
    </row>
    <row r="2968" spans="1:5" x14ac:dyDescent="0.25">
      <c r="A2968" s="60">
        <v>442</v>
      </c>
      <c r="B2968" s="60" t="s">
        <v>117</v>
      </c>
      <c r="C2968" s="60">
        <v>200</v>
      </c>
      <c r="D2968" s="60">
        <v>106421</v>
      </c>
      <c r="E2968" s="60">
        <f t="shared" si="46"/>
        <v>-106421</v>
      </c>
    </row>
    <row r="2969" spans="1:5" x14ac:dyDescent="0.25">
      <c r="A2969" s="60">
        <v>442</v>
      </c>
      <c r="B2969" s="60" t="s">
        <v>117</v>
      </c>
      <c r="C2969" s="60">
        <v>210</v>
      </c>
      <c r="D2969" s="60">
        <v>183584</v>
      </c>
      <c r="E2969" s="60">
        <f t="shared" si="46"/>
        <v>-183584</v>
      </c>
    </row>
    <row r="2970" spans="1:5" x14ac:dyDescent="0.25">
      <c r="A2970" s="60">
        <v>442</v>
      </c>
      <c r="B2970" s="60" t="s">
        <v>117</v>
      </c>
      <c r="C2970" s="60">
        <v>230</v>
      </c>
      <c r="D2970" s="60">
        <v>0</v>
      </c>
      <c r="E2970" s="60">
        <f t="shared" si="46"/>
        <v>0</v>
      </c>
    </row>
    <row r="2971" spans="1:5" x14ac:dyDescent="0.25">
      <c r="A2971" s="60">
        <v>442</v>
      </c>
      <c r="B2971" s="60" t="s">
        <v>117</v>
      </c>
      <c r="C2971" s="60">
        <v>298</v>
      </c>
      <c r="D2971" s="60">
        <v>0</v>
      </c>
      <c r="E2971" s="60">
        <f t="shared" si="46"/>
        <v>0</v>
      </c>
    </row>
    <row r="2972" spans="1:5" x14ac:dyDescent="0.25">
      <c r="A2972" s="60">
        <v>442</v>
      </c>
      <c r="B2972" s="60" t="s">
        <v>118</v>
      </c>
      <c r="C2972" s="60">
        <v>1</v>
      </c>
      <c r="D2972" s="60">
        <v>3446323</v>
      </c>
      <c r="E2972" s="60">
        <f t="shared" si="46"/>
        <v>3446323</v>
      </c>
    </row>
    <row r="2973" spans="1:5" x14ac:dyDescent="0.25">
      <c r="A2973" s="60">
        <v>442</v>
      </c>
      <c r="B2973" s="60" t="s">
        <v>118</v>
      </c>
      <c r="C2973" s="60">
        <v>10</v>
      </c>
      <c r="D2973" s="60">
        <v>8435340</v>
      </c>
      <c r="E2973" s="60">
        <f t="shared" si="46"/>
        <v>8435340</v>
      </c>
    </row>
    <row r="2974" spans="1:5" x14ac:dyDescent="0.25">
      <c r="A2974" s="60">
        <v>442</v>
      </c>
      <c r="B2974" s="60" t="s">
        <v>118</v>
      </c>
      <c r="C2974" s="60">
        <v>20</v>
      </c>
      <c r="D2974" s="60">
        <v>0</v>
      </c>
      <c r="E2974" s="60">
        <f t="shared" si="46"/>
        <v>0</v>
      </c>
    </row>
    <row r="2975" spans="1:5" x14ac:dyDescent="0.25">
      <c r="A2975" s="60">
        <v>442</v>
      </c>
      <c r="B2975" s="60" t="s">
        <v>118</v>
      </c>
      <c r="C2975" s="60">
        <v>40</v>
      </c>
      <c r="D2975" s="60">
        <v>0</v>
      </c>
      <c r="E2975" s="60">
        <f t="shared" si="46"/>
        <v>0</v>
      </c>
    </row>
    <row r="2976" spans="1:5" x14ac:dyDescent="0.25">
      <c r="A2976" s="60">
        <v>442</v>
      </c>
      <c r="B2976" s="60" t="s">
        <v>118</v>
      </c>
      <c r="C2976" s="60">
        <v>50</v>
      </c>
      <c r="D2976" s="60">
        <v>0</v>
      </c>
      <c r="E2976" s="60">
        <f t="shared" si="46"/>
        <v>0</v>
      </c>
    </row>
    <row r="2977" spans="1:5" x14ac:dyDescent="0.25">
      <c r="A2977" s="60">
        <v>442</v>
      </c>
      <c r="B2977" s="60" t="s">
        <v>118</v>
      </c>
      <c r="C2977" s="60">
        <v>70</v>
      </c>
      <c r="D2977" s="60">
        <v>-74403</v>
      </c>
      <c r="E2977" s="60">
        <f t="shared" si="46"/>
        <v>-74403</v>
      </c>
    </row>
    <row r="2978" spans="1:5" x14ac:dyDescent="0.25">
      <c r="A2978" s="60">
        <v>442</v>
      </c>
      <c r="B2978" s="60" t="s">
        <v>118</v>
      </c>
      <c r="C2978" s="60">
        <v>110</v>
      </c>
      <c r="D2978" s="60">
        <v>3371920</v>
      </c>
      <c r="E2978" s="60">
        <f t="shared" si="46"/>
        <v>-3371920</v>
      </c>
    </row>
    <row r="2979" spans="1:5" x14ac:dyDescent="0.25">
      <c r="A2979" s="60">
        <v>442</v>
      </c>
      <c r="B2979" s="60" t="s">
        <v>118</v>
      </c>
      <c r="C2979" s="60">
        <v>120</v>
      </c>
      <c r="D2979" s="60">
        <v>0</v>
      </c>
      <c r="E2979" s="60">
        <f t="shared" si="46"/>
        <v>0</v>
      </c>
    </row>
    <row r="2980" spans="1:5" x14ac:dyDescent="0.25">
      <c r="A2980" s="60">
        <v>442</v>
      </c>
      <c r="B2980" s="60" t="s">
        <v>118</v>
      </c>
      <c r="C2980" s="60">
        <v>130</v>
      </c>
      <c r="D2980" s="60">
        <v>0</v>
      </c>
      <c r="E2980" s="60">
        <f t="shared" si="46"/>
        <v>0</v>
      </c>
    </row>
    <row r="2981" spans="1:5" x14ac:dyDescent="0.25">
      <c r="A2981" s="60">
        <v>442</v>
      </c>
      <c r="B2981" s="60" t="s">
        <v>118</v>
      </c>
      <c r="C2981" s="60">
        <v>140</v>
      </c>
      <c r="D2981" s="60">
        <v>0</v>
      </c>
      <c r="E2981" s="60">
        <f t="shared" si="46"/>
        <v>0</v>
      </c>
    </row>
    <row r="2982" spans="1:5" x14ac:dyDescent="0.25">
      <c r="A2982" s="60">
        <v>442</v>
      </c>
      <c r="B2982" s="60" t="s">
        <v>118</v>
      </c>
      <c r="C2982" s="60">
        <v>141</v>
      </c>
      <c r="D2982" s="60">
        <v>1981260</v>
      </c>
      <c r="E2982" s="60">
        <f t="shared" si="46"/>
        <v>-1981260</v>
      </c>
    </row>
    <row r="2983" spans="1:5" x14ac:dyDescent="0.25">
      <c r="A2983" s="60">
        <v>442</v>
      </c>
      <c r="B2983" s="60" t="s">
        <v>118</v>
      </c>
      <c r="C2983" s="60">
        <v>150</v>
      </c>
      <c r="D2983" s="60">
        <v>0</v>
      </c>
      <c r="E2983" s="60">
        <f t="shared" si="46"/>
        <v>0</v>
      </c>
    </row>
    <row r="2984" spans="1:5" x14ac:dyDescent="0.25">
      <c r="A2984" s="60">
        <v>442</v>
      </c>
      <c r="B2984" s="60" t="s">
        <v>118</v>
      </c>
      <c r="C2984" s="60">
        <v>200</v>
      </c>
      <c r="D2984" s="60">
        <v>42177</v>
      </c>
      <c r="E2984" s="60">
        <f t="shared" si="46"/>
        <v>-42177</v>
      </c>
    </row>
    <row r="2985" spans="1:5" x14ac:dyDescent="0.25">
      <c r="A2985" s="60">
        <v>442</v>
      </c>
      <c r="B2985" s="60" t="s">
        <v>118</v>
      </c>
      <c r="C2985" s="60">
        <v>210</v>
      </c>
      <c r="D2985" s="60">
        <v>0</v>
      </c>
      <c r="E2985" s="60">
        <f t="shared" si="46"/>
        <v>0</v>
      </c>
    </row>
    <row r="2986" spans="1:5" x14ac:dyDescent="0.25">
      <c r="A2986" s="60">
        <v>442</v>
      </c>
      <c r="B2986" s="60" t="s">
        <v>118</v>
      </c>
      <c r="C2986" s="60">
        <v>220</v>
      </c>
      <c r="D2986" s="60">
        <v>0</v>
      </c>
      <c r="E2986" s="60">
        <f t="shared" si="46"/>
        <v>0</v>
      </c>
    </row>
    <row r="2987" spans="1:5" x14ac:dyDescent="0.25">
      <c r="A2987" s="60">
        <v>442</v>
      </c>
      <c r="B2987" s="60" t="s">
        <v>118</v>
      </c>
      <c r="C2987" s="60">
        <v>230</v>
      </c>
      <c r="D2987" s="60">
        <v>195272</v>
      </c>
      <c r="E2987" s="60">
        <f t="shared" si="46"/>
        <v>-195272</v>
      </c>
    </row>
    <row r="2988" spans="1:5" x14ac:dyDescent="0.25">
      <c r="A2988" s="60">
        <v>442</v>
      </c>
      <c r="B2988" s="60" t="s">
        <v>118</v>
      </c>
      <c r="C2988" s="60">
        <v>298</v>
      </c>
      <c r="D2988" s="60">
        <v>0</v>
      </c>
      <c r="E2988" s="60">
        <f t="shared" si="46"/>
        <v>0</v>
      </c>
    </row>
    <row r="2989" spans="1:5" x14ac:dyDescent="0.25">
      <c r="A2989" s="60">
        <v>442</v>
      </c>
      <c r="B2989" s="60" t="s">
        <v>119</v>
      </c>
      <c r="C2989" s="60">
        <v>1</v>
      </c>
      <c r="D2989" s="60">
        <v>15645794</v>
      </c>
      <c r="E2989" s="60">
        <f t="shared" si="46"/>
        <v>15645794</v>
      </c>
    </row>
    <row r="2990" spans="1:5" x14ac:dyDescent="0.25">
      <c r="A2990" s="60">
        <v>442</v>
      </c>
      <c r="B2990" s="60" t="s">
        <v>119</v>
      </c>
      <c r="C2990" s="60">
        <v>10</v>
      </c>
      <c r="D2990" s="60">
        <v>16962880</v>
      </c>
      <c r="E2990" s="60">
        <f t="shared" si="46"/>
        <v>16962880</v>
      </c>
    </row>
    <row r="2991" spans="1:5" x14ac:dyDescent="0.25">
      <c r="A2991" s="60">
        <v>442</v>
      </c>
      <c r="B2991" s="60" t="s">
        <v>119</v>
      </c>
      <c r="C2991" s="60">
        <v>20</v>
      </c>
      <c r="D2991" s="60">
        <v>0</v>
      </c>
      <c r="E2991" s="60">
        <f t="shared" si="46"/>
        <v>0</v>
      </c>
    </row>
    <row r="2992" spans="1:5" x14ac:dyDescent="0.25">
      <c r="A2992" s="60">
        <v>442</v>
      </c>
      <c r="B2992" s="60" t="s">
        <v>119</v>
      </c>
      <c r="C2992" s="60">
        <v>50</v>
      </c>
      <c r="D2992" s="60">
        <v>334720</v>
      </c>
      <c r="E2992" s="60">
        <f t="shared" si="46"/>
        <v>334720</v>
      </c>
    </row>
    <row r="2993" spans="1:5" x14ac:dyDescent="0.25">
      <c r="A2993" s="60">
        <v>442</v>
      </c>
      <c r="B2993" s="60" t="s">
        <v>119</v>
      </c>
      <c r="C2993" s="60">
        <v>70</v>
      </c>
      <c r="D2993" s="60">
        <v>-140194</v>
      </c>
      <c r="E2993" s="60">
        <f t="shared" si="46"/>
        <v>-140194</v>
      </c>
    </row>
    <row r="2994" spans="1:5" x14ac:dyDescent="0.25">
      <c r="A2994" s="60">
        <v>442</v>
      </c>
      <c r="B2994" s="60" t="s">
        <v>119</v>
      </c>
      <c r="C2994" s="60">
        <v>110</v>
      </c>
      <c r="D2994" s="60">
        <v>15511100</v>
      </c>
      <c r="E2994" s="60">
        <f t="shared" si="46"/>
        <v>-15511100</v>
      </c>
    </row>
    <row r="2995" spans="1:5" x14ac:dyDescent="0.25">
      <c r="A2995" s="60">
        <v>442</v>
      </c>
      <c r="B2995" s="60" t="s">
        <v>119</v>
      </c>
      <c r="C2995" s="60">
        <v>130</v>
      </c>
      <c r="D2995" s="60">
        <v>0</v>
      </c>
      <c r="E2995" s="60">
        <f t="shared" si="46"/>
        <v>0</v>
      </c>
    </row>
    <row r="2996" spans="1:5" x14ac:dyDescent="0.25">
      <c r="A2996" s="60">
        <v>442</v>
      </c>
      <c r="B2996" s="60" t="s">
        <v>119</v>
      </c>
      <c r="C2996" s="60">
        <v>140</v>
      </c>
      <c r="D2996" s="60">
        <v>0</v>
      </c>
      <c r="E2996" s="60">
        <f t="shared" si="46"/>
        <v>0</v>
      </c>
    </row>
    <row r="2997" spans="1:5" x14ac:dyDescent="0.25">
      <c r="A2997" s="60">
        <v>442</v>
      </c>
      <c r="B2997" s="60" t="s">
        <v>119</v>
      </c>
      <c r="C2997" s="60">
        <v>150</v>
      </c>
      <c r="D2997" s="60">
        <v>0</v>
      </c>
      <c r="E2997" s="60">
        <f t="shared" si="46"/>
        <v>0</v>
      </c>
    </row>
    <row r="2998" spans="1:5" x14ac:dyDescent="0.25">
      <c r="A2998" s="60">
        <v>442</v>
      </c>
      <c r="B2998" s="60" t="s">
        <v>119</v>
      </c>
      <c r="C2998" s="60">
        <v>200</v>
      </c>
      <c r="D2998" s="60">
        <v>84787</v>
      </c>
      <c r="E2998" s="60">
        <f t="shared" si="46"/>
        <v>-84787</v>
      </c>
    </row>
    <row r="2999" spans="1:5" x14ac:dyDescent="0.25">
      <c r="A2999" s="60">
        <v>442</v>
      </c>
      <c r="B2999" s="60" t="s">
        <v>119</v>
      </c>
      <c r="C2999" s="60">
        <v>210</v>
      </c>
      <c r="D2999" s="60">
        <v>8235</v>
      </c>
      <c r="E2999" s="60">
        <f t="shared" si="46"/>
        <v>-8235</v>
      </c>
    </row>
    <row r="3000" spans="1:5" x14ac:dyDescent="0.25">
      <c r="A3000" s="60">
        <v>442</v>
      </c>
      <c r="B3000" s="60" t="s">
        <v>119</v>
      </c>
      <c r="C3000" s="60">
        <v>220</v>
      </c>
      <c r="D3000" s="60">
        <v>0</v>
      </c>
      <c r="E3000" s="60">
        <f t="shared" si="46"/>
        <v>0</v>
      </c>
    </row>
    <row r="3001" spans="1:5" x14ac:dyDescent="0.25">
      <c r="A3001" s="60">
        <v>442</v>
      </c>
      <c r="B3001" s="60" t="s">
        <v>119</v>
      </c>
      <c r="C3001" s="60">
        <v>230</v>
      </c>
      <c r="D3001" s="60">
        <v>61520</v>
      </c>
      <c r="E3001" s="60">
        <f t="shared" si="46"/>
        <v>-61520</v>
      </c>
    </row>
    <row r="3002" spans="1:5" x14ac:dyDescent="0.25">
      <c r="A3002" s="60">
        <v>442</v>
      </c>
      <c r="B3002" s="60" t="s">
        <v>119</v>
      </c>
      <c r="C3002" s="60">
        <v>270</v>
      </c>
      <c r="D3002" s="60">
        <v>0</v>
      </c>
      <c r="E3002" s="60">
        <f t="shared" si="46"/>
        <v>0</v>
      </c>
    </row>
    <row r="3003" spans="1:5" x14ac:dyDescent="0.25">
      <c r="A3003" s="60">
        <v>442</v>
      </c>
      <c r="B3003" s="60" t="s">
        <v>119</v>
      </c>
      <c r="C3003" s="60">
        <v>298</v>
      </c>
      <c r="D3003" s="60">
        <v>0</v>
      </c>
      <c r="E3003" s="60">
        <f t="shared" si="46"/>
        <v>0</v>
      </c>
    </row>
    <row r="3004" spans="1:5" x14ac:dyDescent="0.25">
      <c r="A3004" s="60">
        <v>442</v>
      </c>
      <c r="B3004" s="60" t="s">
        <v>120</v>
      </c>
      <c r="C3004" s="60">
        <v>1</v>
      </c>
      <c r="D3004" s="60">
        <v>21192205</v>
      </c>
      <c r="E3004" s="60">
        <f t="shared" si="46"/>
        <v>21192205</v>
      </c>
    </row>
    <row r="3005" spans="1:5" x14ac:dyDescent="0.25">
      <c r="A3005" s="60">
        <v>442</v>
      </c>
      <c r="B3005" s="60" t="s">
        <v>120</v>
      </c>
      <c r="C3005" s="60">
        <v>10</v>
      </c>
      <c r="D3005" s="60">
        <v>26940860</v>
      </c>
      <c r="E3005" s="60">
        <f t="shared" si="46"/>
        <v>26940860</v>
      </c>
    </row>
    <row r="3006" spans="1:5" x14ac:dyDescent="0.25">
      <c r="A3006" s="60">
        <v>442</v>
      </c>
      <c r="B3006" s="60" t="s">
        <v>120</v>
      </c>
      <c r="C3006" s="60">
        <v>40</v>
      </c>
      <c r="D3006" s="60">
        <v>0</v>
      </c>
      <c r="E3006" s="60">
        <f t="shared" si="46"/>
        <v>0</v>
      </c>
    </row>
    <row r="3007" spans="1:5" x14ac:dyDescent="0.25">
      <c r="A3007" s="60">
        <v>442</v>
      </c>
      <c r="B3007" s="60" t="s">
        <v>120</v>
      </c>
      <c r="C3007" s="60">
        <v>50</v>
      </c>
      <c r="D3007" s="60">
        <v>114940</v>
      </c>
      <c r="E3007" s="60">
        <f t="shared" si="46"/>
        <v>114940</v>
      </c>
    </row>
    <row r="3008" spans="1:5" x14ac:dyDescent="0.25">
      <c r="A3008" s="60">
        <v>442</v>
      </c>
      <c r="B3008" s="60" t="s">
        <v>120</v>
      </c>
      <c r="C3008" s="60">
        <v>70</v>
      </c>
      <c r="D3008" s="60">
        <v>-436139</v>
      </c>
      <c r="E3008" s="60">
        <f t="shared" si="46"/>
        <v>-436139</v>
      </c>
    </row>
    <row r="3009" spans="1:5" x14ac:dyDescent="0.25">
      <c r="A3009" s="60">
        <v>442</v>
      </c>
      <c r="B3009" s="60" t="s">
        <v>120</v>
      </c>
      <c r="C3009" s="60">
        <v>110</v>
      </c>
      <c r="D3009" s="60">
        <v>38796096</v>
      </c>
      <c r="E3009" s="60">
        <f t="shared" si="46"/>
        <v>-38796096</v>
      </c>
    </row>
    <row r="3010" spans="1:5" x14ac:dyDescent="0.25">
      <c r="A3010" s="60">
        <v>442</v>
      </c>
      <c r="B3010" s="60" t="s">
        <v>120</v>
      </c>
      <c r="C3010" s="60">
        <v>120</v>
      </c>
      <c r="D3010" s="60">
        <v>0</v>
      </c>
      <c r="E3010" s="60">
        <f t="shared" ref="E3010:E3073" si="47">IF(C3010&lt;100,D3010,D3010*-1)</f>
        <v>0</v>
      </c>
    </row>
    <row r="3011" spans="1:5" x14ac:dyDescent="0.25">
      <c r="A3011" s="60">
        <v>442</v>
      </c>
      <c r="B3011" s="60" t="s">
        <v>120</v>
      </c>
      <c r="C3011" s="60">
        <v>130</v>
      </c>
      <c r="D3011" s="60">
        <v>0</v>
      </c>
      <c r="E3011" s="60">
        <f t="shared" si="47"/>
        <v>0</v>
      </c>
    </row>
    <row r="3012" spans="1:5" x14ac:dyDescent="0.25">
      <c r="A3012" s="60">
        <v>442</v>
      </c>
      <c r="B3012" s="60" t="s">
        <v>120</v>
      </c>
      <c r="C3012" s="60">
        <v>140</v>
      </c>
      <c r="D3012" s="60">
        <v>172180</v>
      </c>
      <c r="E3012" s="60">
        <f t="shared" si="47"/>
        <v>-172180</v>
      </c>
    </row>
    <row r="3013" spans="1:5" x14ac:dyDescent="0.25">
      <c r="A3013" s="60">
        <v>442</v>
      </c>
      <c r="B3013" s="60" t="s">
        <v>120</v>
      </c>
      <c r="C3013" s="60">
        <v>150</v>
      </c>
      <c r="D3013" s="60">
        <v>0</v>
      </c>
      <c r="E3013" s="60">
        <f t="shared" si="47"/>
        <v>0</v>
      </c>
    </row>
    <row r="3014" spans="1:5" x14ac:dyDescent="0.25">
      <c r="A3014" s="60">
        <v>442</v>
      </c>
      <c r="B3014" s="60" t="s">
        <v>120</v>
      </c>
      <c r="C3014" s="60">
        <v>200</v>
      </c>
      <c r="D3014" s="60">
        <v>268914</v>
      </c>
      <c r="E3014" s="60">
        <f t="shared" si="47"/>
        <v>-268914</v>
      </c>
    </row>
    <row r="3015" spans="1:5" x14ac:dyDescent="0.25">
      <c r="A3015" s="60">
        <v>442</v>
      </c>
      <c r="B3015" s="60" t="s">
        <v>120</v>
      </c>
      <c r="C3015" s="60">
        <v>210</v>
      </c>
      <c r="D3015" s="60">
        <v>1734</v>
      </c>
      <c r="E3015" s="60">
        <f t="shared" si="47"/>
        <v>-1734</v>
      </c>
    </row>
    <row r="3016" spans="1:5" x14ac:dyDescent="0.25">
      <c r="A3016" s="60">
        <v>442</v>
      </c>
      <c r="B3016" s="60" t="s">
        <v>120</v>
      </c>
      <c r="C3016" s="60">
        <v>220</v>
      </c>
      <c r="D3016" s="60">
        <v>0</v>
      </c>
      <c r="E3016" s="60">
        <f t="shared" si="47"/>
        <v>0</v>
      </c>
    </row>
    <row r="3017" spans="1:5" x14ac:dyDescent="0.25">
      <c r="A3017" s="60">
        <v>442</v>
      </c>
      <c r="B3017" s="60" t="s">
        <v>120</v>
      </c>
      <c r="C3017" s="60">
        <v>230</v>
      </c>
      <c r="D3017" s="60">
        <v>69783</v>
      </c>
      <c r="E3017" s="60">
        <f t="shared" si="47"/>
        <v>-69783</v>
      </c>
    </row>
    <row r="3018" spans="1:5" x14ac:dyDescent="0.25">
      <c r="A3018" s="60">
        <v>442</v>
      </c>
      <c r="B3018" s="60" t="s">
        <v>120</v>
      </c>
      <c r="C3018" s="60">
        <v>298</v>
      </c>
      <c r="D3018" s="60">
        <v>0</v>
      </c>
      <c r="E3018" s="60">
        <f t="shared" si="47"/>
        <v>0</v>
      </c>
    </row>
    <row r="3019" spans="1:5" x14ac:dyDescent="0.25">
      <c r="A3019" s="60">
        <v>443</v>
      </c>
      <c r="B3019" s="60" t="s">
        <v>117</v>
      </c>
      <c r="C3019" s="60">
        <v>1</v>
      </c>
      <c r="D3019" s="60">
        <v>8236668</v>
      </c>
      <c r="E3019" s="60">
        <f t="shared" si="47"/>
        <v>8236668</v>
      </c>
    </row>
    <row r="3020" spans="1:5" x14ac:dyDescent="0.25">
      <c r="A3020" s="60">
        <v>443</v>
      </c>
      <c r="B3020" s="60" t="s">
        <v>117</v>
      </c>
      <c r="C3020" s="60">
        <v>10</v>
      </c>
      <c r="D3020" s="60">
        <v>17430160</v>
      </c>
      <c r="E3020" s="60">
        <f t="shared" si="47"/>
        <v>17430160</v>
      </c>
    </row>
    <row r="3021" spans="1:5" x14ac:dyDescent="0.25">
      <c r="A3021" s="60">
        <v>443</v>
      </c>
      <c r="B3021" s="60" t="s">
        <v>117</v>
      </c>
      <c r="C3021" s="60">
        <v>20</v>
      </c>
      <c r="D3021" s="60">
        <v>0</v>
      </c>
      <c r="E3021" s="60">
        <f t="shared" si="47"/>
        <v>0</v>
      </c>
    </row>
    <row r="3022" spans="1:5" x14ac:dyDescent="0.25">
      <c r="A3022" s="60">
        <v>443</v>
      </c>
      <c r="B3022" s="60" t="s">
        <v>117</v>
      </c>
      <c r="C3022" s="60">
        <v>50</v>
      </c>
      <c r="D3022" s="60">
        <v>0</v>
      </c>
      <c r="E3022" s="60">
        <f t="shared" si="47"/>
        <v>0</v>
      </c>
    </row>
    <row r="3023" spans="1:5" x14ac:dyDescent="0.25">
      <c r="A3023" s="60">
        <v>443</v>
      </c>
      <c r="B3023" s="60" t="s">
        <v>117</v>
      </c>
      <c r="C3023" s="60">
        <v>70</v>
      </c>
      <c r="D3023" s="60">
        <v>0</v>
      </c>
      <c r="E3023" s="60">
        <f t="shared" si="47"/>
        <v>0</v>
      </c>
    </row>
    <row r="3024" spans="1:5" x14ac:dyDescent="0.25">
      <c r="A3024" s="60">
        <v>443</v>
      </c>
      <c r="B3024" s="60" t="s">
        <v>117</v>
      </c>
      <c r="C3024" s="60">
        <v>100</v>
      </c>
      <c r="D3024" s="60">
        <v>0</v>
      </c>
      <c r="E3024" s="60">
        <f t="shared" si="47"/>
        <v>0</v>
      </c>
    </row>
    <row r="3025" spans="1:5" x14ac:dyDescent="0.25">
      <c r="A3025" s="60">
        <v>443</v>
      </c>
      <c r="B3025" s="60" t="s">
        <v>117</v>
      </c>
      <c r="C3025" s="60">
        <v>110</v>
      </c>
      <c r="D3025" s="60">
        <v>0</v>
      </c>
      <c r="E3025" s="60">
        <f t="shared" si="47"/>
        <v>0</v>
      </c>
    </row>
    <row r="3026" spans="1:5" x14ac:dyDescent="0.25">
      <c r="A3026" s="60">
        <v>443</v>
      </c>
      <c r="B3026" s="60" t="s">
        <v>117</v>
      </c>
      <c r="C3026" s="60">
        <v>120</v>
      </c>
      <c r="D3026" s="60">
        <v>0</v>
      </c>
      <c r="E3026" s="60">
        <f t="shared" si="47"/>
        <v>0</v>
      </c>
    </row>
    <row r="3027" spans="1:5" x14ac:dyDescent="0.25">
      <c r="A3027" s="60">
        <v>443</v>
      </c>
      <c r="B3027" s="60" t="s">
        <v>117</v>
      </c>
      <c r="C3027" s="60">
        <v>140</v>
      </c>
      <c r="D3027" s="60">
        <v>0</v>
      </c>
      <c r="E3027" s="60">
        <f t="shared" si="47"/>
        <v>0</v>
      </c>
    </row>
    <row r="3028" spans="1:5" x14ac:dyDescent="0.25">
      <c r="A3028" s="60">
        <v>443</v>
      </c>
      <c r="B3028" s="60" t="s">
        <v>117</v>
      </c>
      <c r="C3028" s="60">
        <v>200</v>
      </c>
      <c r="D3028" s="60">
        <v>86638</v>
      </c>
      <c r="E3028" s="60">
        <f t="shared" si="47"/>
        <v>-86638</v>
      </c>
    </row>
    <row r="3029" spans="1:5" x14ac:dyDescent="0.25">
      <c r="A3029" s="60">
        <v>443</v>
      </c>
      <c r="B3029" s="60" t="s">
        <v>117</v>
      </c>
      <c r="C3029" s="60">
        <v>210</v>
      </c>
      <c r="D3029" s="60">
        <v>205633</v>
      </c>
      <c r="E3029" s="60">
        <f t="shared" si="47"/>
        <v>-205633</v>
      </c>
    </row>
    <row r="3030" spans="1:5" x14ac:dyDescent="0.25">
      <c r="A3030" s="60">
        <v>443</v>
      </c>
      <c r="B3030" s="60" t="s">
        <v>117</v>
      </c>
      <c r="C3030" s="60">
        <v>230</v>
      </c>
      <c r="D3030" s="60">
        <v>0</v>
      </c>
      <c r="E3030" s="60">
        <f t="shared" si="47"/>
        <v>0</v>
      </c>
    </row>
    <row r="3031" spans="1:5" x14ac:dyDescent="0.25">
      <c r="A3031" s="60">
        <v>443</v>
      </c>
      <c r="B3031" s="60" t="s">
        <v>117</v>
      </c>
      <c r="C3031" s="60">
        <v>298</v>
      </c>
      <c r="D3031" s="60">
        <v>0</v>
      </c>
      <c r="E3031" s="60">
        <f t="shared" si="47"/>
        <v>0</v>
      </c>
    </row>
    <row r="3032" spans="1:5" x14ac:dyDescent="0.25">
      <c r="A3032" s="60">
        <v>443</v>
      </c>
      <c r="B3032" s="60" t="s">
        <v>118</v>
      </c>
      <c r="C3032" s="60">
        <v>1</v>
      </c>
      <c r="D3032" s="60">
        <v>6445168</v>
      </c>
      <c r="E3032" s="60">
        <f t="shared" si="47"/>
        <v>6445168</v>
      </c>
    </row>
    <row r="3033" spans="1:5" x14ac:dyDescent="0.25">
      <c r="A3033" s="60">
        <v>443</v>
      </c>
      <c r="B3033" s="60" t="s">
        <v>118</v>
      </c>
      <c r="C3033" s="60">
        <v>10</v>
      </c>
      <c r="D3033" s="60">
        <v>2915880</v>
      </c>
      <c r="E3033" s="60">
        <f t="shared" si="47"/>
        <v>2915880</v>
      </c>
    </row>
    <row r="3034" spans="1:5" x14ac:dyDescent="0.25">
      <c r="A3034" s="60">
        <v>443</v>
      </c>
      <c r="B3034" s="60" t="s">
        <v>118</v>
      </c>
      <c r="C3034" s="60">
        <v>50</v>
      </c>
      <c r="D3034" s="60">
        <v>0</v>
      </c>
      <c r="E3034" s="60">
        <f t="shared" si="47"/>
        <v>0</v>
      </c>
    </row>
    <row r="3035" spans="1:5" x14ac:dyDescent="0.25">
      <c r="A3035" s="60">
        <v>443</v>
      </c>
      <c r="B3035" s="60" t="s">
        <v>118</v>
      </c>
      <c r="C3035" s="60">
        <v>70</v>
      </c>
      <c r="D3035" s="60">
        <v>0</v>
      </c>
      <c r="E3035" s="60">
        <f t="shared" si="47"/>
        <v>0</v>
      </c>
    </row>
    <row r="3036" spans="1:5" x14ac:dyDescent="0.25">
      <c r="A3036" s="60">
        <v>443</v>
      </c>
      <c r="B3036" s="60" t="s">
        <v>118</v>
      </c>
      <c r="C3036" s="60">
        <v>110</v>
      </c>
      <c r="D3036" s="60">
        <v>2043060</v>
      </c>
      <c r="E3036" s="60">
        <f t="shared" si="47"/>
        <v>-2043060</v>
      </c>
    </row>
    <row r="3037" spans="1:5" x14ac:dyDescent="0.25">
      <c r="A3037" s="60">
        <v>443</v>
      </c>
      <c r="B3037" s="60" t="s">
        <v>118</v>
      </c>
      <c r="C3037" s="60">
        <v>130</v>
      </c>
      <c r="D3037" s="60">
        <v>0</v>
      </c>
      <c r="E3037" s="60">
        <f t="shared" si="47"/>
        <v>0</v>
      </c>
    </row>
    <row r="3038" spans="1:5" x14ac:dyDescent="0.25">
      <c r="A3038" s="60">
        <v>443</v>
      </c>
      <c r="B3038" s="60" t="s">
        <v>118</v>
      </c>
      <c r="C3038" s="60">
        <v>140</v>
      </c>
      <c r="D3038" s="60">
        <v>0</v>
      </c>
      <c r="E3038" s="60">
        <f t="shared" si="47"/>
        <v>0</v>
      </c>
    </row>
    <row r="3039" spans="1:5" x14ac:dyDescent="0.25">
      <c r="A3039" s="60">
        <v>443</v>
      </c>
      <c r="B3039" s="60" t="s">
        <v>118</v>
      </c>
      <c r="C3039" s="60">
        <v>141</v>
      </c>
      <c r="D3039" s="60">
        <v>6146800</v>
      </c>
      <c r="E3039" s="60">
        <f t="shared" si="47"/>
        <v>-6146800</v>
      </c>
    </row>
    <row r="3040" spans="1:5" x14ac:dyDescent="0.25">
      <c r="A3040" s="60">
        <v>443</v>
      </c>
      <c r="B3040" s="60" t="s">
        <v>118</v>
      </c>
      <c r="C3040" s="60">
        <v>150</v>
      </c>
      <c r="D3040" s="60">
        <v>0</v>
      </c>
      <c r="E3040" s="60">
        <f t="shared" si="47"/>
        <v>0</v>
      </c>
    </row>
    <row r="3041" spans="1:13" x14ac:dyDescent="0.25">
      <c r="A3041" s="60">
        <v>443</v>
      </c>
      <c r="B3041" s="60" t="s">
        <v>118</v>
      </c>
      <c r="C3041" s="60">
        <v>200</v>
      </c>
      <c r="D3041" s="60">
        <v>14537</v>
      </c>
      <c r="E3041" s="60">
        <f t="shared" si="47"/>
        <v>-14537</v>
      </c>
    </row>
    <row r="3042" spans="1:13" x14ac:dyDescent="0.25">
      <c r="A3042" s="60">
        <v>443</v>
      </c>
      <c r="B3042" s="60" t="s">
        <v>118</v>
      </c>
      <c r="C3042" s="60">
        <v>210</v>
      </c>
      <c r="D3042" s="60">
        <v>0</v>
      </c>
      <c r="E3042" s="60">
        <f t="shared" si="47"/>
        <v>0</v>
      </c>
    </row>
    <row r="3043" spans="1:13" x14ac:dyDescent="0.25">
      <c r="A3043" s="60">
        <v>443</v>
      </c>
      <c r="B3043" s="60" t="s">
        <v>118</v>
      </c>
      <c r="C3043" s="60">
        <v>220</v>
      </c>
      <c r="D3043" s="60">
        <v>0</v>
      </c>
      <c r="E3043" s="60">
        <f t="shared" si="47"/>
        <v>0</v>
      </c>
    </row>
    <row r="3044" spans="1:13" x14ac:dyDescent="0.25">
      <c r="A3044" s="60">
        <v>443</v>
      </c>
      <c r="B3044" s="60" t="s">
        <v>118</v>
      </c>
      <c r="C3044" s="60">
        <v>230</v>
      </c>
      <c r="D3044" s="60">
        <v>63994</v>
      </c>
      <c r="E3044" s="60">
        <f t="shared" si="47"/>
        <v>-63994</v>
      </c>
      <c r="F3044" s="60" t="s">
        <v>161</v>
      </c>
      <c r="G3044" s="60">
        <v>66822.02</v>
      </c>
      <c r="H3044" s="60">
        <v>37050</v>
      </c>
      <c r="I3044" s="60">
        <v>16</v>
      </c>
      <c r="J3044" s="60">
        <v>54</v>
      </c>
      <c r="K3044" s="60">
        <v>7.0000000000000007E-2</v>
      </c>
      <c r="L3044" s="60" t="s">
        <v>162</v>
      </c>
      <c r="M3044" s="60" t="s">
        <v>163</v>
      </c>
    </row>
    <row r="3045" spans="1:13" x14ac:dyDescent="0.25">
      <c r="A3045" s="60">
        <v>443</v>
      </c>
      <c r="B3045" s="60" t="s">
        <v>118</v>
      </c>
      <c r="C3045" s="60">
        <v>298</v>
      </c>
      <c r="D3045" s="60">
        <v>0</v>
      </c>
      <c r="E3045" s="60">
        <f t="shared" si="47"/>
        <v>0</v>
      </c>
    </row>
    <row r="3046" spans="1:13" x14ac:dyDescent="0.25">
      <c r="A3046" s="60">
        <v>443</v>
      </c>
      <c r="B3046" s="60" t="s">
        <v>119</v>
      </c>
      <c r="C3046" s="60">
        <v>1</v>
      </c>
      <c r="D3046" s="60">
        <v>17837312</v>
      </c>
      <c r="E3046" s="60">
        <f t="shared" si="47"/>
        <v>17837312</v>
      </c>
    </row>
    <row r="3047" spans="1:13" x14ac:dyDescent="0.25">
      <c r="A3047" s="60">
        <v>443</v>
      </c>
      <c r="B3047" s="60" t="s">
        <v>119</v>
      </c>
      <c r="C3047" s="60">
        <v>10</v>
      </c>
      <c r="D3047" s="60">
        <v>17424280</v>
      </c>
      <c r="E3047" s="60">
        <f t="shared" si="47"/>
        <v>17424280</v>
      </c>
    </row>
    <row r="3048" spans="1:13" x14ac:dyDescent="0.25">
      <c r="A3048" s="60">
        <v>443</v>
      </c>
      <c r="B3048" s="60" t="s">
        <v>119</v>
      </c>
      <c r="C3048" s="60">
        <v>20</v>
      </c>
      <c r="D3048" s="60">
        <v>0</v>
      </c>
      <c r="E3048" s="60">
        <f t="shared" si="47"/>
        <v>0</v>
      </c>
    </row>
    <row r="3049" spans="1:13" x14ac:dyDescent="0.25">
      <c r="A3049" s="60">
        <v>443</v>
      </c>
      <c r="B3049" s="60" t="s">
        <v>119</v>
      </c>
      <c r="C3049" s="60">
        <v>50</v>
      </c>
      <c r="D3049" s="60">
        <v>10583140</v>
      </c>
      <c r="E3049" s="60">
        <f t="shared" si="47"/>
        <v>10583140</v>
      </c>
    </row>
    <row r="3050" spans="1:13" x14ac:dyDescent="0.25">
      <c r="A3050" s="60">
        <v>443</v>
      </c>
      <c r="B3050" s="60" t="s">
        <v>119</v>
      </c>
      <c r="C3050" s="60">
        <v>70</v>
      </c>
      <c r="D3050" s="60">
        <v>-128612</v>
      </c>
      <c r="E3050" s="60">
        <f t="shared" si="47"/>
        <v>-128612</v>
      </c>
    </row>
    <row r="3051" spans="1:13" x14ac:dyDescent="0.25">
      <c r="A3051" s="60">
        <v>443</v>
      </c>
      <c r="B3051" s="60" t="s">
        <v>119</v>
      </c>
      <c r="C3051" s="60">
        <v>110</v>
      </c>
      <c r="D3051" s="60">
        <v>17711480</v>
      </c>
      <c r="E3051" s="60">
        <f t="shared" si="47"/>
        <v>-17711480</v>
      </c>
    </row>
    <row r="3052" spans="1:13" x14ac:dyDescent="0.25">
      <c r="A3052" s="60">
        <v>443</v>
      </c>
      <c r="B3052" s="60" t="s">
        <v>119</v>
      </c>
      <c r="C3052" s="60">
        <v>130</v>
      </c>
      <c r="D3052" s="60">
        <v>0</v>
      </c>
      <c r="E3052" s="60">
        <f t="shared" si="47"/>
        <v>0</v>
      </c>
    </row>
    <row r="3053" spans="1:13" x14ac:dyDescent="0.25">
      <c r="A3053" s="60">
        <v>443</v>
      </c>
      <c r="B3053" s="60" t="s">
        <v>119</v>
      </c>
      <c r="C3053" s="60">
        <v>140</v>
      </c>
      <c r="D3053" s="60">
        <v>0</v>
      </c>
      <c r="E3053" s="60">
        <f t="shared" si="47"/>
        <v>0</v>
      </c>
    </row>
    <row r="3054" spans="1:13" x14ac:dyDescent="0.25">
      <c r="A3054" s="60">
        <v>443</v>
      </c>
      <c r="B3054" s="60" t="s">
        <v>119</v>
      </c>
      <c r="C3054" s="60">
        <v>200</v>
      </c>
      <c r="D3054" s="60">
        <v>87107</v>
      </c>
      <c r="E3054" s="60">
        <f t="shared" si="47"/>
        <v>-87107</v>
      </c>
    </row>
    <row r="3055" spans="1:13" x14ac:dyDescent="0.25">
      <c r="A3055" s="60">
        <v>443</v>
      </c>
      <c r="B3055" s="60" t="s">
        <v>119</v>
      </c>
      <c r="C3055" s="60">
        <v>210</v>
      </c>
      <c r="D3055" s="60">
        <v>81513</v>
      </c>
      <c r="E3055" s="60">
        <f t="shared" si="47"/>
        <v>-81513</v>
      </c>
    </row>
    <row r="3056" spans="1:13" x14ac:dyDescent="0.25">
      <c r="A3056" s="60">
        <v>443</v>
      </c>
      <c r="B3056" s="60" t="s">
        <v>119</v>
      </c>
      <c r="C3056" s="60">
        <v>230</v>
      </c>
      <c r="D3056" s="60">
        <v>48403</v>
      </c>
      <c r="E3056" s="60">
        <f t="shared" si="47"/>
        <v>-48403</v>
      </c>
    </row>
    <row r="3057" spans="1:5" x14ac:dyDescent="0.25">
      <c r="A3057" s="60">
        <v>443</v>
      </c>
      <c r="B3057" s="60" t="s">
        <v>119</v>
      </c>
      <c r="C3057" s="60">
        <v>298</v>
      </c>
      <c r="D3057" s="60">
        <v>0</v>
      </c>
      <c r="E3057" s="60">
        <f t="shared" si="47"/>
        <v>0</v>
      </c>
    </row>
    <row r="3058" spans="1:5" x14ac:dyDescent="0.25">
      <c r="A3058" s="60">
        <v>443</v>
      </c>
      <c r="B3058" s="60" t="s">
        <v>120</v>
      </c>
      <c r="C3058" s="60">
        <v>1</v>
      </c>
      <c r="D3058" s="60">
        <v>29866533</v>
      </c>
      <c r="E3058" s="60">
        <f t="shared" si="47"/>
        <v>29866533</v>
      </c>
    </row>
    <row r="3059" spans="1:5" x14ac:dyDescent="0.25">
      <c r="A3059" s="60">
        <v>443</v>
      </c>
      <c r="B3059" s="60" t="s">
        <v>120</v>
      </c>
      <c r="C3059" s="60">
        <v>10</v>
      </c>
      <c r="D3059" s="60">
        <v>43722360</v>
      </c>
      <c r="E3059" s="60">
        <f t="shared" si="47"/>
        <v>43722360</v>
      </c>
    </row>
    <row r="3060" spans="1:5" x14ac:dyDescent="0.25">
      <c r="A3060" s="60">
        <v>443</v>
      </c>
      <c r="B3060" s="60" t="s">
        <v>120</v>
      </c>
      <c r="C3060" s="60">
        <v>20</v>
      </c>
      <c r="D3060" s="60">
        <v>0</v>
      </c>
      <c r="E3060" s="60">
        <f t="shared" si="47"/>
        <v>0</v>
      </c>
    </row>
    <row r="3061" spans="1:5" x14ac:dyDescent="0.25">
      <c r="A3061" s="60">
        <v>443</v>
      </c>
      <c r="B3061" s="60" t="s">
        <v>120</v>
      </c>
      <c r="C3061" s="60">
        <v>50</v>
      </c>
      <c r="D3061" s="60">
        <v>45720</v>
      </c>
      <c r="E3061" s="60">
        <f t="shared" si="47"/>
        <v>45720</v>
      </c>
    </row>
    <row r="3062" spans="1:5" x14ac:dyDescent="0.25">
      <c r="A3062" s="60">
        <v>443</v>
      </c>
      <c r="B3062" s="60" t="s">
        <v>120</v>
      </c>
      <c r="C3062" s="60">
        <v>70</v>
      </c>
      <c r="D3062" s="60">
        <v>342744</v>
      </c>
      <c r="E3062" s="60">
        <f t="shared" si="47"/>
        <v>342744</v>
      </c>
    </row>
    <row r="3063" spans="1:5" x14ac:dyDescent="0.25">
      <c r="A3063" s="60">
        <v>443</v>
      </c>
      <c r="B3063" s="60" t="s">
        <v>120</v>
      </c>
      <c r="C3063" s="60">
        <v>110</v>
      </c>
      <c r="D3063" s="60">
        <v>20841220</v>
      </c>
      <c r="E3063" s="60">
        <f t="shared" si="47"/>
        <v>-20841220</v>
      </c>
    </row>
    <row r="3064" spans="1:5" x14ac:dyDescent="0.25">
      <c r="A3064" s="60">
        <v>443</v>
      </c>
      <c r="B3064" s="60" t="s">
        <v>120</v>
      </c>
      <c r="C3064" s="60">
        <v>120</v>
      </c>
      <c r="D3064" s="60">
        <v>0</v>
      </c>
      <c r="E3064" s="60">
        <f t="shared" si="47"/>
        <v>0</v>
      </c>
    </row>
    <row r="3065" spans="1:5" x14ac:dyDescent="0.25">
      <c r="A3065" s="60">
        <v>443</v>
      </c>
      <c r="B3065" s="60" t="s">
        <v>120</v>
      </c>
      <c r="C3065" s="60">
        <v>130</v>
      </c>
      <c r="D3065" s="60">
        <v>0</v>
      </c>
      <c r="E3065" s="60">
        <f t="shared" si="47"/>
        <v>0</v>
      </c>
    </row>
    <row r="3066" spans="1:5" x14ac:dyDescent="0.25">
      <c r="A3066" s="60">
        <v>443</v>
      </c>
      <c r="B3066" s="60" t="s">
        <v>120</v>
      </c>
      <c r="C3066" s="60">
        <v>140</v>
      </c>
      <c r="D3066" s="60">
        <v>40628296</v>
      </c>
      <c r="E3066" s="60">
        <f t="shared" si="47"/>
        <v>-40628296</v>
      </c>
    </row>
    <row r="3067" spans="1:5" x14ac:dyDescent="0.25">
      <c r="A3067" s="60">
        <v>443</v>
      </c>
      <c r="B3067" s="60" t="s">
        <v>120</v>
      </c>
      <c r="C3067" s="60">
        <v>141</v>
      </c>
      <c r="D3067" s="60">
        <v>10786000</v>
      </c>
      <c r="E3067" s="60">
        <f t="shared" si="47"/>
        <v>-10786000</v>
      </c>
    </row>
    <row r="3068" spans="1:5" x14ac:dyDescent="0.25">
      <c r="A3068" s="60">
        <v>443</v>
      </c>
      <c r="B3068" s="60" t="s">
        <v>120</v>
      </c>
      <c r="C3068" s="60">
        <v>150</v>
      </c>
      <c r="D3068" s="60">
        <v>0</v>
      </c>
      <c r="E3068" s="60">
        <f t="shared" si="47"/>
        <v>0</v>
      </c>
    </row>
    <row r="3069" spans="1:5" x14ac:dyDescent="0.25">
      <c r="A3069" s="60">
        <v>443</v>
      </c>
      <c r="B3069" s="60" t="s">
        <v>120</v>
      </c>
      <c r="C3069" s="60">
        <v>200</v>
      </c>
      <c r="D3069" s="60">
        <v>437224</v>
      </c>
      <c r="E3069" s="60">
        <f t="shared" si="47"/>
        <v>-437224</v>
      </c>
    </row>
    <row r="3070" spans="1:5" x14ac:dyDescent="0.25">
      <c r="A3070" s="60">
        <v>443</v>
      </c>
      <c r="B3070" s="60" t="s">
        <v>120</v>
      </c>
      <c r="C3070" s="60">
        <v>210</v>
      </c>
      <c r="D3070" s="60">
        <v>0</v>
      </c>
      <c r="E3070" s="60">
        <f t="shared" si="47"/>
        <v>0</v>
      </c>
    </row>
    <row r="3071" spans="1:5" x14ac:dyDescent="0.25">
      <c r="A3071" s="60">
        <v>443</v>
      </c>
      <c r="B3071" s="60" t="s">
        <v>120</v>
      </c>
      <c r="C3071" s="60">
        <v>220</v>
      </c>
      <c r="D3071" s="60">
        <v>0</v>
      </c>
      <c r="E3071" s="60">
        <f t="shared" si="47"/>
        <v>0</v>
      </c>
    </row>
    <row r="3072" spans="1:5" x14ac:dyDescent="0.25">
      <c r="A3072" s="60">
        <v>443</v>
      </c>
      <c r="B3072" s="60" t="s">
        <v>120</v>
      </c>
      <c r="C3072" s="60">
        <v>230</v>
      </c>
      <c r="D3072" s="60">
        <v>116119</v>
      </c>
      <c r="E3072" s="60">
        <f t="shared" si="47"/>
        <v>-116119</v>
      </c>
    </row>
    <row r="3073" spans="1:5" x14ac:dyDescent="0.25">
      <c r="A3073" s="60">
        <v>443</v>
      </c>
      <c r="B3073" s="60" t="s">
        <v>120</v>
      </c>
      <c r="C3073" s="60">
        <v>298</v>
      </c>
      <c r="D3073" s="60">
        <v>0</v>
      </c>
      <c r="E3073" s="60">
        <f t="shared" si="47"/>
        <v>0</v>
      </c>
    </row>
    <row r="3074" spans="1:5" x14ac:dyDescent="0.25">
      <c r="A3074" s="60">
        <v>445</v>
      </c>
      <c r="B3074" s="60" t="s">
        <v>117</v>
      </c>
      <c r="C3074" s="60">
        <v>1</v>
      </c>
      <c r="D3074" s="60">
        <v>0</v>
      </c>
      <c r="E3074" s="60">
        <f t="shared" ref="E3074:E3137" si="48">IF(C3074&lt;100,D3074,D3074*-1)</f>
        <v>0</v>
      </c>
    </row>
    <row r="3075" spans="1:5" x14ac:dyDescent="0.25">
      <c r="A3075" s="60">
        <v>445</v>
      </c>
      <c r="B3075" s="60" t="s">
        <v>117</v>
      </c>
      <c r="C3075" s="60">
        <v>50</v>
      </c>
      <c r="D3075" s="60">
        <v>0</v>
      </c>
      <c r="E3075" s="60">
        <f t="shared" si="48"/>
        <v>0</v>
      </c>
    </row>
    <row r="3076" spans="1:5" x14ac:dyDescent="0.25">
      <c r="A3076" s="60">
        <v>445</v>
      </c>
      <c r="B3076" s="60" t="s">
        <v>117</v>
      </c>
      <c r="C3076" s="60">
        <v>110</v>
      </c>
      <c r="D3076" s="60">
        <v>0</v>
      </c>
      <c r="E3076" s="60">
        <f t="shared" si="48"/>
        <v>0</v>
      </c>
    </row>
    <row r="3077" spans="1:5" x14ac:dyDescent="0.25">
      <c r="A3077" s="60">
        <v>445</v>
      </c>
      <c r="B3077" s="60" t="s">
        <v>117</v>
      </c>
      <c r="C3077" s="60">
        <v>140</v>
      </c>
      <c r="D3077" s="60">
        <v>0</v>
      </c>
      <c r="E3077" s="60">
        <f t="shared" si="48"/>
        <v>0</v>
      </c>
    </row>
    <row r="3078" spans="1:5" x14ac:dyDescent="0.25">
      <c r="A3078" s="60">
        <v>445</v>
      </c>
      <c r="B3078" s="60" t="s">
        <v>118</v>
      </c>
      <c r="C3078" s="60">
        <v>1</v>
      </c>
      <c r="D3078" s="60">
        <v>0</v>
      </c>
      <c r="E3078" s="60">
        <f t="shared" si="48"/>
        <v>0</v>
      </c>
    </row>
    <row r="3079" spans="1:5" x14ac:dyDescent="0.25">
      <c r="A3079" s="60">
        <v>445</v>
      </c>
      <c r="B3079" s="60" t="s">
        <v>118</v>
      </c>
      <c r="C3079" s="60">
        <v>10</v>
      </c>
      <c r="D3079" s="60">
        <v>0</v>
      </c>
      <c r="E3079" s="60">
        <f t="shared" si="48"/>
        <v>0</v>
      </c>
    </row>
    <row r="3080" spans="1:5" x14ac:dyDescent="0.25">
      <c r="A3080" s="60">
        <v>445</v>
      </c>
      <c r="B3080" s="60" t="s">
        <v>118</v>
      </c>
      <c r="C3080" s="60">
        <v>140</v>
      </c>
      <c r="D3080" s="60">
        <v>0</v>
      </c>
      <c r="E3080" s="60">
        <f t="shared" si="48"/>
        <v>0</v>
      </c>
    </row>
    <row r="3081" spans="1:5" x14ac:dyDescent="0.25">
      <c r="A3081" s="60">
        <v>445</v>
      </c>
      <c r="B3081" s="60" t="s">
        <v>118</v>
      </c>
      <c r="C3081" s="60">
        <v>200</v>
      </c>
      <c r="D3081" s="60">
        <v>0</v>
      </c>
      <c r="E3081" s="60">
        <f t="shared" si="48"/>
        <v>0</v>
      </c>
    </row>
    <row r="3082" spans="1:5" x14ac:dyDescent="0.25">
      <c r="A3082" s="60">
        <v>445</v>
      </c>
      <c r="B3082" s="60" t="s">
        <v>118</v>
      </c>
      <c r="C3082" s="60">
        <v>230</v>
      </c>
      <c r="D3082" s="60">
        <v>0</v>
      </c>
      <c r="E3082" s="60">
        <f t="shared" si="48"/>
        <v>0</v>
      </c>
    </row>
    <row r="3083" spans="1:5" x14ac:dyDescent="0.25">
      <c r="A3083" s="60">
        <v>445</v>
      </c>
      <c r="B3083" s="60" t="s">
        <v>119</v>
      </c>
      <c r="C3083" s="60">
        <v>10</v>
      </c>
      <c r="D3083" s="60">
        <v>0</v>
      </c>
      <c r="E3083" s="60">
        <f t="shared" si="48"/>
        <v>0</v>
      </c>
    </row>
    <row r="3084" spans="1:5" x14ac:dyDescent="0.25">
      <c r="A3084" s="60">
        <v>445</v>
      </c>
      <c r="B3084" s="60" t="s">
        <v>119</v>
      </c>
      <c r="C3084" s="60">
        <v>110</v>
      </c>
      <c r="D3084" s="60">
        <v>0</v>
      </c>
      <c r="E3084" s="60">
        <f t="shared" si="48"/>
        <v>0</v>
      </c>
    </row>
    <row r="3085" spans="1:5" x14ac:dyDescent="0.25">
      <c r="A3085" s="60">
        <v>445</v>
      </c>
      <c r="B3085" s="60" t="s">
        <v>120</v>
      </c>
      <c r="C3085" s="60">
        <v>1</v>
      </c>
      <c r="D3085" s="60">
        <v>26815724</v>
      </c>
      <c r="E3085" s="60">
        <f t="shared" si="48"/>
        <v>26815724</v>
      </c>
    </row>
    <row r="3086" spans="1:5" x14ac:dyDescent="0.25">
      <c r="A3086" s="60">
        <v>445</v>
      </c>
      <c r="B3086" s="60" t="s">
        <v>120</v>
      </c>
      <c r="C3086" s="60">
        <v>10</v>
      </c>
      <c r="D3086" s="60">
        <v>1243100</v>
      </c>
      <c r="E3086" s="60">
        <f t="shared" si="48"/>
        <v>1243100</v>
      </c>
    </row>
    <row r="3087" spans="1:5" x14ac:dyDescent="0.25">
      <c r="A3087" s="60">
        <v>445</v>
      </c>
      <c r="B3087" s="60" t="s">
        <v>120</v>
      </c>
      <c r="C3087" s="60">
        <v>15</v>
      </c>
      <c r="D3087" s="60">
        <v>0</v>
      </c>
      <c r="E3087" s="60">
        <f t="shared" si="48"/>
        <v>0</v>
      </c>
    </row>
    <row r="3088" spans="1:5" x14ac:dyDescent="0.25">
      <c r="A3088" s="60">
        <v>445</v>
      </c>
      <c r="B3088" s="60" t="s">
        <v>120</v>
      </c>
      <c r="C3088" s="60">
        <v>20</v>
      </c>
      <c r="D3088" s="60">
        <v>0</v>
      </c>
      <c r="E3088" s="60">
        <f t="shared" si="48"/>
        <v>0</v>
      </c>
    </row>
    <row r="3089" spans="1:5" x14ac:dyDescent="0.25">
      <c r="A3089" s="60">
        <v>445</v>
      </c>
      <c r="B3089" s="60" t="s">
        <v>120</v>
      </c>
      <c r="C3089" s="60">
        <v>50</v>
      </c>
      <c r="D3089" s="60">
        <v>26487496</v>
      </c>
      <c r="E3089" s="60">
        <f t="shared" si="48"/>
        <v>26487496</v>
      </c>
    </row>
    <row r="3090" spans="1:5" x14ac:dyDescent="0.25">
      <c r="A3090" s="60">
        <v>445</v>
      </c>
      <c r="B3090" s="60" t="s">
        <v>120</v>
      </c>
      <c r="C3090" s="60">
        <v>70</v>
      </c>
      <c r="D3090" s="60">
        <v>-633944</v>
      </c>
      <c r="E3090" s="60">
        <f t="shared" si="48"/>
        <v>-633944</v>
      </c>
    </row>
    <row r="3091" spans="1:5" x14ac:dyDescent="0.25">
      <c r="A3091" s="60">
        <v>445</v>
      </c>
      <c r="B3091" s="60" t="s">
        <v>120</v>
      </c>
      <c r="C3091" s="60">
        <v>110</v>
      </c>
      <c r="D3091" s="60">
        <v>26084680</v>
      </c>
      <c r="E3091" s="60">
        <f t="shared" si="48"/>
        <v>-26084680</v>
      </c>
    </row>
    <row r="3092" spans="1:5" x14ac:dyDescent="0.25">
      <c r="A3092" s="60">
        <v>445</v>
      </c>
      <c r="B3092" s="60" t="s">
        <v>120</v>
      </c>
      <c r="C3092" s="60">
        <v>140</v>
      </c>
      <c r="D3092" s="60">
        <v>97100</v>
      </c>
      <c r="E3092" s="60">
        <f t="shared" si="48"/>
        <v>-97100</v>
      </c>
    </row>
    <row r="3093" spans="1:5" x14ac:dyDescent="0.25">
      <c r="A3093" s="60">
        <v>445</v>
      </c>
      <c r="B3093" s="60" t="s">
        <v>120</v>
      </c>
      <c r="C3093" s="60">
        <v>200</v>
      </c>
      <c r="D3093" s="60">
        <v>12431</v>
      </c>
      <c r="E3093" s="60">
        <f t="shared" si="48"/>
        <v>-12431</v>
      </c>
    </row>
    <row r="3094" spans="1:5" x14ac:dyDescent="0.25">
      <c r="A3094" s="60">
        <v>445</v>
      </c>
      <c r="B3094" s="60" t="s">
        <v>120</v>
      </c>
      <c r="C3094" s="60">
        <v>220</v>
      </c>
      <c r="D3094" s="60">
        <v>0</v>
      </c>
      <c r="E3094" s="60">
        <f t="shared" si="48"/>
        <v>0</v>
      </c>
    </row>
    <row r="3095" spans="1:5" x14ac:dyDescent="0.25">
      <c r="A3095" s="60">
        <v>445</v>
      </c>
      <c r="B3095" s="60" t="s">
        <v>120</v>
      </c>
      <c r="C3095" s="60">
        <v>230</v>
      </c>
      <c r="D3095" s="60">
        <v>0</v>
      </c>
      <c r="E3095" s="60">
        <f t="shared" si="48"/>
        <v>0</v>
      </c>
    </row>
    <row r="3096" spans="1:5" x14ac:dyDescent="0.25">
      <c r="A3096" s="60">
        <v>447</v>
      </c>
      <c r="B3096" s="60" t="s">
        <v>117</v>
      </c>
      <c r="C3096" s="60">
        <v>1</v>
      </c>
      <c r="D3096" s="60">
        <v>0</v>
      </c>
      <c r="E3096" s="60">
        <f t="shared" si="48"/>
        <v>0</v>
      </c>
    </row>
    <row r="3097" spans="1:5" x14ac:dyDescent="0.25">
      <c r="A3097" s="60">
        <v>447</v>
      </c>
      <c r="B3097" s="60" t="s">
        <v>117</v>
      </c>
      <c r="C3097" s="60">
        <v>10</v>
      </c>
      <c r="D3097" s="60">
        <v>19866240</v>
      </c>
      <c r="E3097" s="60">
        <f t="shared" si="48"/>
        <v>19866240</v>
      </c>
    </row>
    <row r="3098" spans="1:5" x14ac:dyDescent="0.25">
      <c r="A3098" s="60">
        <v>447</v>
      </c>
      <c r="B3098" s="60" t="s">
        <v>117</v>
      </c>
      <c r="C3098" s="60">
        <v>70</v>
      </c>
      <c r="D3098" s="60">
        <v>0</v>
      </c>
      <c r="E3098" s="60">
        <f t="shared" si="48"/>
        <v>0</v>
      </c>
    </row>
    <row r="3099" spans="1:5" x14ac:dyDescent="0.25">
      <c r="A3099" s="60">
        <v>447</v>
      </c>
      <c r="B3099" s="60" t="s">
        <v>117</v>
      </c>
      <c r="C3099" s="60">
        <v>110</v>
      </c>
      <c r="D3099" s="60">
        <v>2215040</v>
      </c>
      <c r="E3099" s="60">
        <f t="shared" si="48"/>
        <v>-2215040</v>
      </c>
    </row>
    <row r="3100" spans="1:5" x14ac:dyDescent="0.25">
      <c r="A3100" s="60">
        <v>447</v>
      </c>
      <c r="B3100" s="60" t="s">
        <v>117</v>
      </c>
      <c r="C3100" s="60">
        <v>140</v>
      </c>
      <c r="D3100" s="60">
        <v>16962700</v>
      </c>
      <c r="E3100" s="60">
        <f t="shared" si="48"/>
        <v>-16962700</v>
      </c>
    </row>
    <row r="3101" spans="1:5" x14ac:dyDescent="0.25">
      <c r="A3101" s="60">
        <v>447</v>
      </c>
      <c r="B3101" s="60" t="s">
        <v>117</v>
      </c>
      <c r="C3101" s="60">
        <v>141</v>
      </c>
      <c r="D3101" s="60">
        <v>553120</v>
      </c>
      <c r="E3101" s="60">
        <f t="shared" si="48"/>
        <v>-553120</v>
      </c>
    </row>
    <row r="3102" spans="1:5" x14ac:dyDescent="0.25">
      <c r="A3102" s="60">
        <v>447</v>
      </c>
      <c r="B3102" s="60" t="s">
        <v>117</v>
      </c>
      <c r="C3102" s="60">
        <v>200</v>
      </c>
      <c r="D3102" s="60">
        <v>99161</v>
      </c>
      <c r="E3102" s="60">
        <f t="shared" si="48"/>
        <v>-99161</v>
      </c>
    </row>
    <row r="3103" spans="1:5" x14ac:dyDescent="0.25">
      <c r="A3103" s="60">
        <v>447</v>
      </c>
      <c r="B3103" s="60" t="s">
        <v>117</v>
      </c>
      <c r="C3103" s="60">
        <v>210</v>
      </c>
      <c r="D3103" s="60">
        <v>107266</v>
      </c>
      <c r="E3103" s="60">
        <f t="shared" si="48"/>
        <v>-107266</v>
      </c>
    </row>
    <row r="3104" spans="1:5" x14ac:dyDescent="0.25">
      <c r="A3104" s="60">
        <v>447</v>
      </c>
      <c r="B3104" s="60" t="s">
        <v>118</v>
      </c>
      <c r="C3104" s="60">
        <v>1</v>
      </c>
      <c r="D3104" s="60">
        <v>4165699</v>
      </c>
      <c r="E3104" s="60">
        <f t="shared" si="48"/>
        <v>4165699</v>
      </c>
    </row>
    <row r="3105" spans="1:5" x14ac:dyDescent="0.25">
      <c r="A3105" s="60">
        <v>447</v>
      </c>
      <c r="B3105" s="60" t="s">
        <v>118</v>
      </c>
      <c r="C3105" s="60">
        <v>10</v>
      </c>
      <c r="D3105" s="60">
        <v>845320</v>
      </c>
      <c r="E3105" s="60">
        <f t="shared" si="48"/>
        <v>845320</v>
      </c>
    </row>
    <row r="3106" spans="1:5" x14ac:dyDescent="0.25">
      <c r="A3106" s="60">
        <v>447</v>
      </c>
      <c r="B3106" s="60" t="s">
        <v>118</v>
      </c>
      <c r="C3106" s="60">
        <v>70</v>
      </c>
      <c r="D3106" s="60">
        <v>138487</v>
      </c>
      <c r="E3106" s="60">
        <f t="shared" si="48"/>
        <v>138487</v>
      </c>
    </row>
    <row r="3107" spans="1:5" x14ac:dyDescent="0.25">
      <c r="A3107" s="60">
        <v>447</v>
      </c>
      <c r="B3107" s="60" t="s">
        <v>118</v>
      </c>
      <c r="C3107" s="60">
        <v>110</v>
      </c>
      <c r="D3107" s="60">
        <v>4335800</v>
      </c>
      <c r="E3107" s="60">
        <f t="shared" si="48"/>
        <v>-4335800</v>
      </c>
    </row>
    <row r="3108" spans="1:5" x14ac:dyDescent="0.25">
      <c r="A3108" s="60">
        <v>447</v>
      </c>
      <c r="B3108" s="60" t="s">
        <v>118</v>
      </c>
      <c r="C3108" s="60">
        <v>130</v>
      </c>
      <c r="D3108" s="60">
        <v>0</v>
      </c>
      <c r="E3108" s="60">
        <f t="shared" si="48"/>
        <v>0</v>
      </c>
    </row>
    <row r="3109" spans="1:5" x14ac:dyDescent="0.25">
      <c r="A3109" s="60">
        <v>447</v>
      </c>
      <c r="B3109" s="60" t="s">
        <v>118</v>
      </c>
      <c r="C3109" s="60">
        <v>140</v>
      </c>
      <c r="D3109" s="60">
        <v>73220</v>
      </c>
      <c r="E3109" s="60">
        <f t="shared" si="48"/>
        <v>-73220</v>
      </c>
    </row>
    <row r="3110" spans="1:5" x14ac:dyDescent="0.25">
      <c r="A3110" s="60">
        <v>447</v>
      </c>
      <c r="B3110" s="60" t="s">
        <v>118</v>
      </c>
      <c r="C3110" s="60">
        <v>141</v>
      </c>
      <c r="D3110" s="60">
        <v>726000</v>
      </c>
      <c r="E3110" s="60">
        <f t="shared" si="48"/>
        <v>-726000</v>
      </c>
    </row>
    <row r="3111" spans="1:5" x14ac:dyDescent="0.25">
      <c r="A3111" s="60">
        <v>447</v>
      </c>
      <c r="B3111" s="60" t="s">
        <v>118</v>
      </c>
      <c r="C3111" s="60">
        <v>200</v>
      </c>
      <c r="D3111" s="60">
        <v>4227</v>
      </c>
      <c r="E3111" s="60">
        <f t="shared" si="48"/>
        <v>-4227</v>
      </c>
    </row>
    <row r="3112" spans="1:5" x14ac:dyDescent="0.25">
      <c r="A3112" s="60">
        <v>447</v>
      </c>
      <c r="B3112" s="60" t="s">
        <v>118</v>
      </c>
      <c r="C3112" s="60">
        <v>230</v>
      </c>
      <c r="D3112" s="60">
        <v>10259</v>
      </c>
      <c r="E3112" s="60">
        <f t="shared" si="48"/>
        <v>-10259</v>
      </c>
    </row>
    <row r="3113" spans="1:5" x14ac:dyDescent="0.25">
      <c r="A3113" s="60">
        <v>447</v>
      </c>
      <c r="B3113" s="60" t="s">
        <v>119</v>
      </c>
      <c r="C3113" s="60">
        <v>1</v>
      </c>
      <c r="D3113" s="60">
        <v>3981828</v>
      </c>
      <c r="E3113" s="60">
        <f t="shared" si="48"/>
        <v>3981828</v>
      </c>
    </row>
    <row r="3114" spans="1:5" x14ac:dyDescent="0.25">
      <c r="A3114" s="60">
        <v>447</v>
      </c>
      <c r="B3114" s="60" t="s">
        <v>119</v>
      </c>
      <c r="C3114" s="60">
        <v>10</v>
      </c>
      <c r="D3114" s="60">
        <v>25309840</v>
      </c>
      <c r="E3114" s="60">
        <f t="shared" si="48"/>
        <v>25309840</v>
      </c>
    </row>
    <row r="3115" spans="1:5" x14ac:dyDescent="0.25">
      <c r="A3115" s="60">
        <v>447</v>
      </c>
      <c r="B3115" s="60" t="s">
        <v>119</v>
      </c>
      <c r="C3115" s="60">
        <v>50</v>
      </c>
      <c r="D3115" s="60">
        <v>656540</v>
      </c>
      <c r="E3115" s="60">
        <f t="shared" si="48"/>
        <v>656540</v>
      </c>
    </row>
    <row r="3116" spans="1:5" x14ac:dyDescent="0.25">
      <c r="A3116" s="60">
        <v>447</v>
      </c>
      <c r="B3116" s="60" t="s">
        <v>119</v>
      </c>
      <c r="C3116" s="60">
        <v>70</v>
      </c>
      <c r="D3116" s="60">
        <v>44652</v>
      </c>
      <c r="E3116" s="60">
        <f t="shared" si="48"/>
        <v>44652</v>
      </c>
    </row>
    <row r="3117" spans="1:5" x14ac:dyDescent="0.25">
      <c r="A3117" s="60">
        <v>447</v>
      </c>
      <c r="B3117" s="60" t="s">
        <v>119</v>
      </c>
      <c r="C3117" s="60">
        <v>100</v>
      </c>
      <c r="D3117" s="60">
        <v>0</v>
      </c>
      <c r="E3117" s="60">
        <f t="shared" si="48"/>
        <v>0</v>
      </c>
    </row>
    <row r="3118" spans="1:5" x14ac:dyDescent="0.25">
      <c r="A3118" s="60">
        <v>447</v>
      </c>
      <c r="B3118" s="60" t="s">
        <v>119</v>
      </c>
      <c r="C3118" s="60">
        <v>110</v>
      </c>
      <c r="D3118" s="60">
        <v>4214120</v>
      </c>
      <c r="E3118" s="60">
        <f t="shared" si="48"/>
        <v>-4214120</v>
      </c>
    </row>
    <row r="3119" spans="1:5" x14ac:dyDescent="0.25">
      <c r="A3119" s="60">
        <v>447</v>
      </c>
      <c r="B3119" s="60" t="s">
        <v>119</v>
      </c>
      <c r="C3119" s="60">
        <v>130</v>
      </c>
      <c r="D3119" s="60">
        <v>0</v>
      </c>
      <c r="E3119" s="60">
        <f t="shared" si="48"/>
        <v>0</v>
      </c>
    </row>
    <row r="3120" spans="1:5" x14ac:dyDescent="0.25">
      <c r="A3120" s="60">
        <v>447</v>
      </c>
      <c r="B3120" s="60" t="s">
        <v>119</v>
      </c>
      <c r="C3120" s="60">
        <v>140</v>
      </c>
      <c r="D3120" s="60">
        <v>366740</v>
      </c>
      <c r="E3120" s="60">
        <f t="shared" si="48"/>
        <v>-366740</v>
      </c>
    </row>
    <row r="3121" spans="1:5" x14ac:dyDescent="0.25">
      <c r="A3121" s="60">
        <v>447</v>
      </c>
      <c r="B3121" s="60" t="s">
        <v>119</v>
      </c>
      <c r="C3121" s="60">
        <v>200</v>
      </c>
      <c r="D3121" s="60">
        <v>125263</v>
      </c>
      <c r="E3121" s="60">
        <f t="shared" si="48"/>
        <v>-125263</v>
      </c>
    </row>
    <row r="3122" spans="1:5" x14ac:dyDescent="0.25">
      <c r="A3122" s="60">
        <v>447</v>
      </c>
      <c r="B3122" s="60" t="s">
        <v>119</v>
      </c>
      <c r="C3122" s="60">
        <v>210</v>
      </c>
      <c r="D3122" s="60">
        <v>44180</v>
      </c>
      <c r="E3122" s="60">
        <f t="shared" si="48"/>
        <v>-44180</v>
      </c>
    </row>
    <row r="3123" spans="1:5" x14ac:dyDescent="0.25">
      <c r="A3123" s="60">
        <v>447</v>
      </c>
      <c r="B3123" s="60" t="s">
        <v>119</v>
      </c>
      <c r="C3123" s="60">
        <v>230</v>
      </c>
      <c r="D3123" s="60">
        <v>63618</v>
      </c>
      <c r="E3123" s="60">
        <f t="shared" si="48"/>
        <v>-63618</v>
      </c>
    </row>
    <row r="3124" spans="1:5" x14ac:dyDescent="0.25">
      <c r="A3124" s="60">
        <v>447</v>
      </c>
      <c r="B3124" s="60" t="s">
        <v>120</v>
      </c>
      <c r="C3124" s="60">
        <v>1</v>
      </c>
      <c r="D3124" s="60">
        <v>31989833</v>
      </c>
      <c r="E3124" s="60">
        <f t="shared" si="48"/>
        <v>31989833</v>
      </c>
    </row>
    <row r="3125" spans="1:5" x14ac:dyDescent="0.25">
      <c r="A3125" s="60">
        <v>447</v>
      </c>
      <c r="B3125" s="60" t="s">
        <v>120</v>
      </c>
      <c r="C3125" s="60">
        <v>10</v>
      </c>
      <c r="D3125" s="60">
        <v>43277060</v>
      </c>
      <c r="E3125" s="60">
        <f t="shared" si="48"/>
        <v>43277060</v>
      </c>
    </row>
    <row r="3126" spans="1:5" x14ac:dyDescent="0.25">
      <c r="A3126" s="60">
        <v>447</v>
      </c>
      <c r="B3126" s="60" t="s">
        <v>120</v>
      </c>
      <c r="C3126" s="60">
        <v>70</v>
      </c>
      <c r="D3126" s="60">
        <v>436139</v>
      </c>
      <c r="E3126" s="60">
        <f t="shared" si="48"/>
        <v>436139</v>
      </c>
    </row>
    <row r="3127" spans="1:5" x14ac:dyDescent="0.25">
      <c r="A3127" s="60">
        <v>447</v>
      </c>
      <c r="B3127" s="60" t="s">
        <v>120</v>
      </c>
      <c r="C3127" s="60">
        <v>110</v>
      </c>
      <c r="D3127" s="60">
        <v>58089380</v>
      </c>
      <c r="E3127" s="60">
        <f t="shared" si="48"/>
        <v>-58089380</v>
      </c>
    </row>
    <row r="3128" spans="1:5" x14ac:dyDescent="0.25">
      <c r="A3128" s="60">
        <v>447</v>
      </c>
      <c r="B3128" s="60" t="s">
        <v>120</v>
      </c>
      <c r="C3128" s="60">
        <v>120</v>
      </c>
      <c r="D3128" s="60">
        <v>68120</v>
      </c>
      <c r="E3128" s="60">
        <f t="shared" si="48"/>
        <v>-68120</v>
      </c>
    </row>
    <row r="3129" spans="1:5" x14ac:dyDescent="0.25">
      <c r="A3129" s="60">
        <v>447</v>
      </c>
      <c r="B3129" s="60" t="s">
        <v>120</v>
      </c>
      <c r="C3129" s="60">
        <v>130</v>
      </c>
      <c r="D3129" s="60">
        <v>107620</v>
      </c>
      <c r="E3129" s="60">
        <f t="shared" si="48"/>
        <v>-107620</v>
      </c>
    </row>
    <row r="3130" spans="1:5" x14ac:dyDescent="0.25">
      <c r="A3130" s="60">
        <v>447</v>
      </c>
      <c r="B3130" s="60" t="s">
        <v>120</v>
      </c>
      <c r="C3130" s="60">
        <v>140</v>
      </c>
      <c r="D3130" s="60">
        <v>784540</v>
      </c>
      <c r="E3130" s="60">
        <f t="shared" si="48"/>
        <v>-784540</v>
      </c>
    </row>
    <row r="3131" spans="1:5" x14ac:dyDescent="0.25">
      <c r="A3131" s="60">
        <v>447</v>
      </c>
      <c r="B3131" s="60" t="s">
        <v>120</v>
      </c>
      <c r="C3131" s="60">
        <v>141</v>
      </c>
      <c r="D3131" s="60">
        <v>12843640</v>
      </c>
      <c r="E3131" s="60">
        <f t="shared" si="48"/>
        <v>-12843640</v>
      </c>
    </row>
    <row r="3132" spans="1:5" x14ac:dyDescent="0.25">
      <c r="A3132" s="60">
        <v>447</v>
      </c>
      <c r="B3132" s="60" t="s">
        <v>120</v>
      </c>
      <c r="C3132" s="60">
        <v>200</v>
      </c>
      <c r="D3132" s="60">
        <v>432604</v>
      </c>
      <c r="E3132" s="60">
        <f t="shared" si="48"/>
        <v>-432604</v>
      </c>
    </row>
    <row r="3133" spans="1:5" x14ac:dyDescent="0.25">
      <c r="A3133" s="60">
        <v>447</v>
      </c>
      <c r="B3133" s="60" t="s">
        <v>120</v>
      </c>
      <c r="C3133" s="60">
        <v>210</v>
      </c>
      <c r="D3133" s="60">
        <v>3889</v>
      </c>
      <c r="E3133" s="60">
        <f t="shared" si="48"/>
        <v>-3889</v>
      </c>
    </row>
    <row r="3134" spans="1:5" x14ac:dyDescent="0.25">
      <c r="A3134" s="60">
        <v>447</v>
      </c>
      <c r="B3134" s="60" t="s">
        <v>120</v>
      </c>
      <c r="C3134" s="60">
        <v>220</v>
      </c>
      <c r="D3134" s="60">
        <v>0</v>
      </c>
      <c r="E3134" s="60">
        <f t="shared" si="48"/>
        <v>0</v>
      </c>
    </row>
    <row r="3135" spans="1:5" x14ac:dyDescent="0.25">
      <c r="A3135" s="60">
        <v>447</v>
      </c>
      <c r="B3135" s="60" t="s">
        <v>120</v>
      </c>
      <c r="C3135" s="60">
        <v>230</v>
      </c>
      <c r="D3135" s="60">
        <v>127413</v>
      </c>
      <c r="E3135" s="60">
        <f t="shared" si="48"/>
        <v>-127413</v>
      </c>
    </row>
    <row r="3136" spans="1:5" x14ac:dyDescent="0.25">
      <c r="A3136" s="60">
        <v>510</v>
      </c>
      <c r="B3136" s="60" t="s">
        <v>117</v>
      </c>
      <c r="C3136" s="60">
        <v>1</v>
      </c>
      <c r="D3136" s="60">
        <v>15546900</v>
      </c>
      <c r="E3136" s="60">
        <f t="shared" si="48"/>
        <v>15546900</v>
      </c>
    </row>
    <row r="3137" spans="1:5" x14ac:dyDescent="0.25">
      <c r="A3137" s="60">
        <v>510</v>
      </c>
      <c r="B3137" s="60" t="s">
        <v>117</v>
      </c>
      <c r="C3137" s="60">
        <v>10</v>
      </c>
      <c r="D3137" s="60">
        <v>63523940</v>
      </c>
      <c r="E3137" s="60">
        <f t="shared" si="48"/>
        <v>63523940</v>
      </c>
    </row>
    <row r="3138" spans="1:5" x14ac:dyDescent="0.25">
      <c r="A3138" s="60">
        <v>510</v>
      </c>
      <c r="B3138" s="60" t="s">
        <v>117</v>
      </c>
      <c r="C3138" s="60">
        <v>20</v>
      </c>
      <c r="D3138" s="60">
        <v>0</v>
      </c>
      <c r="E3138" s="60">
        <f t="shared" ref="E3138:E3201" si="49">IF(C3138&lt;100,D3138,D3138*-1)</f>
        <v>0</v>
      </c>
    </row>
    <row r="3139" spans="1:5" x14ac:dyDescent="0.25">
      <c r="A3139" s="60">
        <v>510</v>
      </c>
      <c r="B3139" s="60" t="s">
        <v>117</v>
      </c>
      <c r="C3139" s="60">
        <v>50</v>
      </c>
      <c r="D3139" s="60">
        <v>139440</v>
      </c>
      <c r="E3139" s="60">
        <f t="shared" si="49"/>
        <v>139440</v>
      </c>
    </row>
    <row r="3140" spans="1:5" x14ac:dyDescent="0.25">
      <c r="A3140" s="60">
        <v>510</v>
      </c>
      <c r="B3140" s="60" t="s">
        <v>117</v>
      </c>
      <c r="C3140" s="60">
        <v>70</v>
      </c>
      <c r="D3140" s="60">
        <v>0</v>
      </c>
      <c r="E3140" s="60">
        <f t="shared" si="49"/>
        <v>0</v>
      </c>
    </row>
    <row r="3141" spans="1:5" x14ac:dyDescent="0.25">
      <c r="A3141" s="60">
        <v>510</v>
      </c>
      <c r="B3141" s="60" t="s">
        <v>117</v>
      </c>
      <c r="C3141" s="60">
        <v>100</v>
      </c>
      <c r="D3141" s="60">
        <v>0</v>
      </c>
      <c r="E3141" s="60">
        <f t="shared" si="49"/>
        <v>0</v>
      </c>
    </row>
    <row r="3142" spans="1:5" x14ac:dyDescent="0.25">
      <c r="A3142" s="60">
        <v>510</v>
      </c>
      <c r="B3142" s="60" t="s">
        <v>117</v>
      </c>
      <c r="C3142" s="60">
        <v>110</v>
      </c>
      <c r="D3142" s="60">
        <v>48052800</v>
      </c>
      <c r="E3142" s="60">
        <f t="shared" si="49"/>
        <v>-48052800</v>
      </c>
    </row>
    <row r="3143" spans="1:5" x14ac:dyDescent="0.25">
      <c r="A3143" s="60">
        <v>510</v>
      </c>
      <c r="B3143" s="60" t="s">
        <v>117</v>
      </c>
      <c r="C3143" s="60">
        <v>120</v>
      </c>
      <c r="D3143" s="60">
        <v>0</v>
      </c>
      <c r="E3143" s="60">
        <f t="shared" si="49"/>
        <v>0</v>
      </c>
    </row>
    <row r="3144" spans="1:5" x14ac:dyDescent="0.25">
      <c r="A3144" s="60">
        <v>510</v>
      </c>
      <c r="B3144" s="60" t="s">
        <v>117</v>
      </c>
      <c r="C3144" s="60">
        <v>130</v>
      </c>
      <c r="D3144" s="60">
        <v>0</v>
      </c>
      <c r="E3144" s="60">
        <f t="shared" si="49"/>
        <v>0</v>
      </c>
    </row>
    <row r="3145" spans="1:5" x14ac:dyDescent="0.25">
      <c r="A3145" s="60">
        <v>510</v>
      </c>
      <c r="B3145" s="60" t="s">
        <v>117</v>
      </c>
      <c r="C3145" s="60">
        <v>140</v>
      </c>
      <c r="D3145" s="60">
        <v>767100</v>
      </c>
      <c r="E3145" s="60">
        <f t="shared" si="49"/>
        <v>-767100</v>
      </c>
    </row>
    <row r="3146" spans="1:5" x14ac:dyDescent="0.25">
      <c r="A3146" s="60">
        <v>510</v>
      </c>
      <c r="B3146" s="60" t="s">
        <v>117</v>
      </c>
      <c r="C3146" s="60">
        <v>141</v>
      </c>
      <c r="D3146" s="60">
        <v>12676300</v>
      </c>
      <c r="E3146" s="60">
        <f t="shared" si="49"/>
        <v>-12676300</v>
      </c>
    </row>
    <row r="3147" spans="1:5" x14ac:dyDescent="0.25">
      <c r="A3147" s="60">
        <v>510</v>
      </c>
      <c r="B3147" s="60" t="s">
        <v>117</v>
      </c>
      <c r="C3147" s="60">
        <v>160</v>
      </c>
      <c r="D3147" s="60">
        <v>0</v>
      </c>
      <c r="E3147" s="60">
        <f t="shared" si="49"/>
        <v>0</v>
      </c>
    </row>
    <row r="3148" spans="1:5" x14ac:dyDescent="0.25">
      <c r="A3148" s="60">
        <v>510</v>
      </c>
      <c r="B3148" s="60" t="s">
        <v>117</v>
      </c>
      <c r="C3148" s="60">
        <v>200</v>
      </c>
      <c r="D3148" s="60">
        <v>306718</v>
      </c>
      <c r="E3148" s="60">
        <f t="shared" si="49"/>
        <v>-306718</v>
      </c>
    </row>
    <row r="3149" spans="1:5" x14ac:dyDescent="0.25">
      <c r="A3149" s="60">
        <v>510</v>
      </c>
      <c r="B3149" s="60" t="s">
        <v>117</v>
      </c>
      <c r="C3149" s="60">
        <v>210</v>
      </c>
      <c r="D3149" s="60">
        <v>257549</v>
      </c>
      <c r="E3149" s="60">
        <f t="shared" si="49"/>
        <v>-257549</v>
      </c>
    </row>
    <row r="3150" spans="1:5" x14ac:dyDescent="0.25">
      <c r="A3150" s="60">
        <v>510</v>
      </c>
      <c r="B3150" s="60" t="s">
        <v>117</v>
      </c>
      <c r="C3150" s="60">
        <v>220</v>
      </c>
      <c r="D3150" s="60">
        <v>0</v>
      </c>
      <c r="E3150" s="60">
        <f t="shared" si="49"/>
        <v>0</v>
      </c>
    </row>
    <row r="3151" spans="1:5" x14ac:dyDescent="0.25">
      <c r="A3151" s="60">
        <v>510</v>
      </c>
      <c r="B3151" s="60" t="s">
        <v>117</v>
      </c>
      <c r="C3151" s="60">
        <v>230</v>
      </c>
      <c r="D3151" s="60">
        <v>0</v>
      </c>
      <c r="E3151" s="60">
        <f t="shared" si="49"/>
        <v>0</v>
      </c>
    </row>
    <row r="3152" spans="1:5" x14ac:dyDescent="0.25">
      <c r="A3152" s="60">
        <v>510</v>
      </c>
      <c r="B3152" s="60" t="s">
        <v>117</v>
      </c>
      <c r="C3152" s="60">
        <v>260</v>
      </c>
      <c r="D3152" s="60">
        <v>0</v>
      </c>
      <c r="E3152" s="60">
        <f t="shared" si="49"/>
        <v>0</v>
      </c>
    </row>
    <row r="3153" spans="1:5" x14ac:dyDescent="0.25">
      <c r="A3153" s="60">
        <v>510</v>
      </c>
      <c r="B3153" s="60" t="s">
        <v>117</v>
      </c>
      <c r="C3153" s="60">
        <v>298</v>
      </c>
      <c r="D3153" s="60">
        <v>0</v>
      </c>
      <c r="E3153" s="60">
        <f t="shared" si="49"/>
        <v>0</v>
      </c>
    </row>
    <row r="3154" spans="1:5" x14ac:dyDescent="0.25">
      <c r="A3154" s="60">
        <v>510</v>
      </c>
      <c r="B3154" s="60" t="s">
        <v>118</v>
      </c>
      <c r="C3154" s="60">
        <v>1</v>
      </c>
      <c r="D3154" s="60">
        <v>15629903</v>
      </c>
      <c r="E3154" s="60">
        <f t="shared" si="49"/>
        <v>15629903</v>
      </c>
    </row>
    <row r="3155" spans="1:5" x14ac:dyDescent="0.25">
      <c r="A3155" s="60">
        <v>510</v>
      </c>
      <c r="B3155" s="60" t="s">
        <v>118</v>
      </c>
      <c r="C3155" s="60">
        <v>10</v>
      </c>
      <c r="D3155" s="60">
        <v>31682060</v>
      </c>
      <c r="E3155" s="60">
        <f t="shared" si="49"/>
        <v>31682060</v>
      </c>
    </row>
    <row r="3156" spans="1:5" x14ac:dyDescent="0.25">
      <c r="A3156" s="60">
        <v>510</v>
      </c>
      <c r="B3156" s="60" t="s">
        <v>118</v>
      </c>
      <c r="C3156" s="60">
        <v>20</v>
      </c>
      <c r="D3156" s="60">
        <v>0</v>
      </c>
      <c r="E3156" s="60">
        <f t="shared" si="49"/>
        <v>0</v>
      </c>
    </row>
    <row r="3157" spans="1:5" x14ac:dyDescent="0.25">
      <c r="A3157" s="60">
        <v>510</v>
      </c>
      <c r="B3157" s="60" t="s">
        <v>118</v>
      </c>
      <c r="C3157" s="60">
        <v>50</v>
      </c>
      <c r="D3157" s="60">
        <v>37200</v>
      </c>
      <c r="E3157" s="60">
        <f t="shared" si="49"/>
        <v>37200</v>
      </c>
    </row>
    <row r="3158" spans="1:5" x14ac:dyDescent="0.25">
      <c r="A3158" s="60">
        <v>510</v>
      </c>
      <c r="B3158" s="60" t="s">
        <v>118</v>
      </c>
      <c r="C3158" s="60">
        <v>70</v>
      </c>
      <c r="D3158" s="60">
        <v>0</v>
      </c>
      <c r="E3158" s="60">
        <f t="shared" si="49"/>
        <v>0</v>
      </c>
    </row>
    <row r="3159" spans="1:5" x14ac:dyDescent="0.25">
      <c r="A3159" s="60">
        <v>510</v>
      </c>
      <c r="B3159" s="60" t="s">
        <v>118</v>
      </c>
      <c r="C3159" s="60">
        <v>110</v>
      </c>
      <c r="D3159" s="60">
        <v>5173160</v>
      </c>
      <c r="E3159" s="60">
        <f t="shared" si="49"/>
        <v>-5173160</v>
      </c>
    </row>
    <row r="3160" spans="1:5" x14ac:dyDescent="0.25">
      <c r="A3160" s="60">
        <v>510</v>
      </c>
      <c r="B3160" s="60" t="s">
        <v>118</v>
      </c>
      <c r="C3160" s="60">
        <v>120</v>
      </c>
      <c r="D3160" s="60">
        <v>0</v>
      </c>
      <c r="E3160" s="60">
        <f t="shared" si="49"/>
        <v>0</v>
      </c>
    </row>
    <row r="3161" spans="1:5" x14ac:dyDescent="0.25">
      <c r="A3161" s="60">
        <v>510</v>
      </c>
      <c r="B3161" s="60" t="s">
        <v>118</v>
      </c>
      <c r="C3161" s="60">
        <v>130</v>
      </c>
      <c r="D3161" s="60">
        <v>0</v>
      </c>
      <c r="E3161" s="60">
        <f t="shared" si="49"/>
        <v>0</v>
      </c>
    </row>
    <row r="3162" spans="1:5" x14ac:dyDescent="0.25">
      <c r="A3162" s="60">
        <v>510</v>
      </c>
      <c r="B3162" s="60" t="s">
        <v>118</v>
      </c>
      <c r="C3162" s="60">
        <v>140</v>
      </c>
      <c r="D3162" s="60">
        <v>488780</v>
      </c>
      <c r="E3162" s="60">
        <f t="shared" si="49"/>
        <v>-488780</v>
      </c>
    </row>
    <row r="3163" spans="1:5" x14ac:dyDescent="0.25">
      <c r="A3163" s="60">
        <v>510</v>
      </c>
      <c r="B3163" s="60" t="s">
        <v>118</v>
      </c>
      <c r="C3163" s="60">
        <v>141</v>
      </c>
      <c r="D3163" s="60">
        <v>13119700</v>
      </c>
      <c r="E3163" s="60">
        <f t="shared" si="49"/>
        <v>-13119700</v>
      </c>
    </row>
    <row r="3164" spans="1:5" x14ac:dyDescent="0.25">
      <c r="A3164" s="60">
        <v>510</v>
      </c>
      <c r="B3164" s="60" t="s">
        <v>118</v>
      </c>
      <c r="C3164" s="60">
        <v>150</v>
      </c>
      <c r="D3164" s="60">
        <v>0</v>
      </c>
      <c r="E3164" s="60">
        <f t="shared" si="49"/>
        <v>0</v>
      </c>
    </row>
    <row r="3165" spans="1:5" x14ac:dyDescent="0.25">
      <c r="A3165" s="60">
        <v>510</v>
      </c>
      <c r="B3165" s="60" t="s">
        <v>118</v>
      </c>
      <c r="C3165" s="60">
        <v>160</v>
      </c>
      <c r="D3165" s="60">
        <v>0</v>
      </c>
      <c r="E3165" s="60">
        <f t="shared" si="49"/>
        <v>0</v>
      </c>
    </row>
    <row r="3166" spans="1:5" x14ac:dyDescent="0.25">
      <c r="A3166" s="60">
        <v>510</v>
      </c>
      <c r="B3166" s="60" t="s">
        <v>118</v>
      </c>
      <c r="C3166" s="60">
        <v>200</v>
      </c>
      <c r="D3166" s="60">
        <v>157238</v>
      </c>
      <c r="E3166" s="60">
        <f t="shared" si="49"/>
        <v>-157238</v>
      </c>
    </row>
    <row r="3167" spans="1:5" x14ac:dyDescent="0.25">
      <c r="A3167" s="60">
        <v>510</v>
      </c>
      <c r="B3167" s="60" t="s">
        <v>118</v>
      </c>
      <c r="C3167" s="60">
        <v>210</v>
      </c>
      <c r="D3167" s="60">
        <v>0</v>
      </c>
      <c r="E3167" s="60">
        <f t="shared" si="49"/>
        <v>0</v>
      </c>
    </row>
    <row r="3168" spans="1:5" x14ac:dyDescent="0.25">
      <c r="A3168" s="60">
        <v>510</v>
      </c>
      <c r="B3168" s="60" t="s">
        <v>118</v>
      </c>
      <c r="C3168" s="60">
        <v>220</v>
      </c>
      <c r="D3168" s="60">
        <v>0</v>
      </c>
      <c r="E3168" s="60">
        <f t="shared" si="49"/>
        <v>0</v>
      </c>
    </row>
    <row r="3169" spans="1:5" x14ac:dyDescent="0.25">
      <c r="A3169" s="60">
        <v>510</v>
      </c>
      <c r="B3169" s="60" t="s">
        <v>118</v>
      </c>
      <c r="C3169" s="60">
        <v>230</v>
      </c>
      <c r="D3169" s="60">
        <v>547950</v>
      </c>
      <c r="E3169" s="60">
        <f t="shared" si="49"/>
        <v>-547950</v>
      </c>
    </row>
    <row r="3170" spans="1:5" x14ac:dyDescent="0.25">
      <c r="A3170" s="60">
        <v>510</v>
      </c>
      <c r="B3170" s="60" t="s">
        <v>118</v>
      </c>
      <c r="C3170" s="60">
        <v>260</v>
      </c>
      <c r="D3170" s="60">
        <v>0</v>
      </c>
      <c r="E3170" s="60">
        <f t="shared" si="49"/>
        <v>0</v>
      </c>
    </row>
    <row r="3171" spans="1:5" x14ac:dyDescent="0.25">
      <c r="A3171" s="60">
        <v>510</v>
      </c>
      <c r="B3171" s="60" t="s">
        <v>118</v>
      </c>
      <c r="C3171" s="60">
        <v>270</v>
      </c>
      <c r="D3171" s="60">
        <v>0</v>
      </c>
      <c r="E3171" s="60">
        <f t="shared" si="49"/>
        <v>0</v>
      </c>
    </row>
    <row r="3172" spans="1:5" x14ac:dyDescent="0.25">
      <c r="A3172" s="60">
        <v>510</v>
      </c>
      <c r="B3172" s="60" t="s">
        <v>118</v>
      </c>
      <c r="C3172" s="60">
        <v>298</v>
      </c>
      <c r="D3172" s="60">
        <v>0</v>
      </c>
      <c r="E3172" s="60">
        <f t="shared" si="49"/>
        <v>0</v>
      </c>
    </row>
    <row r="3173" spans="1:5" x14ac:dyDescent="0.25">
      <c r="A3173" s="60">
        <v>510</v>
      </c>
      <c r="B3173" s="60" t="s">
        <v>119</v>
      </c>
      <c r="C3173" s="60">
        <v>1</v>
      </c>
      <c r="D3173" s="60">
        <v>5499925</v>
      </c>
      <c r="E3173" s="60">
        <f t="shared" si="49"/>
        <v>5499925</v>
      </c>
    </row>
    <row r="3174" spans="1:5" x14ac:dyDescent="0.25">
      <c r="A3174" s="60">
        <v>510</v>
      </c>
      <c r="B3174" s="60" t="s">
        <v>119</v>
      </c>
      <c r="C3174" s="60">
        <v>10</v>
      </c>
      <c r="D3174" s="60">
        <v>19192060</v>
      </c>
      <c r="E3174" s="60">
        <f t="shared" si="49"/>
        <v>19192060</v>
      </c>
    </row>
    <row r="3175" spans="1:5" x14ac:dyDescent="0.25">
      <c r="A3175" s="60">
        <v>510</v>
      </c>
      <c r="B3175" s="60" t="s">
        <v>119</v>
      </c>
      <c r="C3175" s="60">
        <v>20</v>
      </c>
      <c r="D3175" s="60">
        <v>225895</v>
      </c>
      <c r="E3175" s="60">
        <f t="shared" si="49"/>
        <v>225895</v>
      </c>
    </row>
    <row r="3176" spans="1:5" x14ac:dyDescent="0.25">
      <c r="A3176" s="60">
        <v>510</v>
      </c>
      <c r="B3176" s="60" t="s">
        <v>119</v>
      </c>
      <c r="C3176" s="60">
        <v>50</v>
      </c>
      <c r="D3176" s="60">
        <v>0</v>
      </c>
      <c r="E3176" s="60">
        <f t="shared" si="49"/>
        <v>0</v>
      </c>
    </row>
    <row r="3177" spans="1:5" x14ac:dyDescent="0.25">
      <c r="A3177" s="60">
        <v>510</v>
      </c>
      <c r="B3177" s="60" t="s">
        <v>119</v>
      </c>
      <c r="C3177" s="60">
        <v>70</v>
      </c>
      <c r="D3177" s="60">
        <v>0</v>
      </c>
      <c r="E3177" s="60">
        <f t="shared" si="49"/>
        <v>0</v>
      </c>
    </row>
    <row r="3178" spans="1:5" x14ac:dyDescent="0.25">
      <c r="A3178" s="60">
        <v>510</v>
      </c>
      <c r="B3178" s="60" t="s">
        <v>119</v>
      </c>
      <c r="C3178" s="60">
        <v>110</v>
      </c>
      <c r="D3178" s="60">
        <v>5161260</v>
      </c>
      <c r="E3178" s="60">
        <f t="shared" si="49"/>
        <v>-5161260</v>
      </c>
    </row>
    <row r="3179" spans="1:5" x14ac:dyDescent="0.25">
      <c r="A3179" s="60">
        <v>510</v>
      </c>
      <c r="B3179" s="60" t="s">
        <v>119</v>
      </c>
      <c r="C3179" s="60">
        <v>120</v>
      </c>
      <c r="D3179" s="60">
        <v>0</v>
      </c>
      <c r="E3179" s="60">
        <f t="shared" si="49"/>
        <v>0</v>
      </c>
    </row>
    <row r="3180" spans="1:5" x14ac:dyDescent="0.25">
      <c r="A3180" s="60">
        <v>510</v>
      </c>
      <c r="B3180" s="60" t="s">
        <v>119</v>
      </c>
      <c r="C3180" s="60">
        <v>130</v>
      </c>
      <c r="D3180" s="60">
        <v>0</v>
      </c>
      <c r="E3180" s="60">
        <f t="shared" si="49"/>
        <v>0</v>
      </c>
    </row>
    <row r="3181" spans="1:5" x14ac:dyDescent="0.25">
      <c r="A3181" s="60">
        <v>510</v>
      </c>
      <c r="B3181" s="60" t="s">
        <v>119</v>
      </c>
      <c r="C3181" s="60">
        <v>140</v>
      </c>
      <c r="D3181" s="60">
        <v>5307840</v>
      </c>
      <c r="E3181" s="60">
        <f t="shared" si="49"/>
        <v>-5307840</v>
      </c>
    </row>
    <row r="3182" spans="1:5" x14ac:dyDescent="0.25">
      <c r="A3182" s="60">
        <v>510</v>
      </c>
      <c r="B3182" s="60" t="s">
        <v>119</v>
      </c>
      <c r="C3182" s="60">
        <v>141</v>
      </c>
      <c r="D3182" s="60">
        <v>1454620</v>
      </c>
      <c r="E3182" s="60">
        <f t="shared" si="49"/>
        <v>-1454620</v>
      </c>
    </row>
    <row r="3183" spans="1:5" x14ac:dyDescent="0.25">
      <c r="A3183" s="60">
        <v>510</v>
      </c>
      <c r="B3183" s="60" t="s">
        <v>119</v>
      </c>
      <c r="C3183" s="60">
        <v>200</v>
      </c>
      <c r="D3183" s="60">
        <v>95960</v>
      </c>
      <c r="E3183" s="60">
        <f t="shared" si="49"/>
        <v>-95960</v>
      </c>
    </row>
    <row r="3184" spans="1:5" x14ac:dyDescent="0.25">
      <c r="A3184" s="60">
        <v>510</v>
      </c>
      <c r="B3184" s="60" t="s">
        <v>119</v>
      </c>
      <c r="C3184" s="60">
        <v>210</v>
      </c>
      <c r="D3184" s="60">
        <v>20676</v>
      </c>
      <c r="E3184" s="60">
        <f t="shared" si="49"/>
        <v>-20676</v>
      </c>
    </row>
    <row r="3185" spans="1:5" x14ac:dyDescent="0.25">
      <c r="A3185" s="60">
        <v>510</v>
      </c>
      <c r="B3185" s="60" t="s">
        <v>119</v>
      </c>
      <c r="C3185" s="60">
        <v>220</v>
      </c>
      <c r="D3185" s="60">
        <v>0</v>
      </c>
      <c r="E3185" s="60">
        <f t="shared" si="49"/>
        <v>0</v>
      </c>
    </row>
    <row r="3186" spans="1:5" x14ac:dyDescent="0.25">
      <c r="A3186" s="60">
        <v>510</v>
      </c>
      <c r="B3186" s="60" t="s">
        <v>119</v>
      </c>
      <c r="C3186" s="60">
        <v>230</v>
      </c>
      <c r="D3186" s="60">
        <v>54523</v>
      </c>
      <c r="E3186" s="60">
        <f t="shared" si="49"/>
        <v>-54523</v>
      </c>
    </row>
    <row r="3187" spans="1:5" x14ac:dyDescent="0.25">
      <c r="A3187" s="60">
        <v>510</v>
      </c>
      <c r="B3187" s="60" t="s">
        <v>119</v>
      </c>
      <c r="C3187" s="60">
        <v>270</v>
      </c>
      <c r="D3187" s="60">
        <v>0</v>
      </c>
      <c r="E3187" s="60">
        <f t="shared" si="49"/>
        <v>0</v>
      </c>
    </row>
    <row r="3188" spans="1:5" x14ac:dyDescent="0.25">
      <c r="A3188" s="60">
        <v>510</v>
      </c>
      <c r="B3188" s="60" t="s">
        <v>119</v>
      </c>
      <c r="C3188" s="60">
        <v>298</v>
      </c>
      <c r="D3188" s="60">
        <v>0</v>
      </c>
      <c r="E3188" s="60">
        <f t="shared" si="49"/>
        <v>0</v>
      </c>
    </row>
    <row r="3189" spans="1:5" x14ac:dyDescent="0.25">
      <c r="A3189" s="60">
        <v>510</v>
      </c>
      <c r="B3189" s="60" t="s">
        <v>120</v>
      </c>
      <c r="C3189" s="60">
        <v>1</v>
      </c>
      <c r="D3189" s="60">
        <v>13241055</v>
      </c>
      <c r="E3189" s="60">
        <f t="shared" si="49"/>
        <v>13241055</v>
      </c>
    </row>
    <row r="3190" spans="1:5" x14ac:dyDescent="0.25">
      <c r="A3190" s="60">
        <v>510</v>
      </c>
      <c r="B3190" s="60" t="s">
        <v>120</v>
      </c>
      <c r="C3190" s="60">
        <v>10</v>
      </c>
      <c r="D3190" s="60">
        <v>17013020</v>
      </c>
      <c r="E3190" s="60">
        <f t="shared" si="49"/>
        <v>17013020</v>
      </c>
    </row>
    <row r="3191" spans="1:5" x14ac:dyDescent="0.25">
      <c r="A3191" s="60">
        <v>510</v>
      </c>
      <c r="B3191" s="60" t="s">
        <v>120</v>
      </c>
      <c r="C3191" s="60">
        <v>20</v>
      </c>
      <c r="D3191" s="60">
        <v>11183</v>
      </c>
      <c r="E3191" s="60">
        <f t="shared" si="49"/>
        <v>11183</v>
      </c>
    </row>
    <row r="3192" spans="1:5" x14ac:dyDescent="0.25">
      <c r="A3192" s="60">
        <v>510</v>
      </c>
      <c r="B3192" s="60" t="s">
        <v>120</v>
      </c>
      <c r="C3192" s="60">
        <v>50</v>
      </c>
      <c r="D3192" s="60">
        <v>0</v>
      </c>
      <c r="E3192" s="60">
        <f t="shared" si="49"/>
        <v>0</v>
      </c>
    </row>
    <row r="3193" spans="1:5" x14ac:dyDescent="0.25">
      <c r="A3193" s="60">
        <v>510</v>
      </c>
      <c r="B3193" s="60" t="s">
        <v>120</v>
      </c>
      <c r="C3193" s="60">
        <v>70</v>
      </c>
      <c r="D3193" s="60">
        <v>58705</v>
      </c>
      <c r="E3193" s="60">
        <f t="shared" si="49"/>
        <v>58705</v>
      </c>
    </row>
    <row r="3194" spans="1:5" x14ac:dyDescent="0.25">
      <c r="A3194" s="60">
        <v>510</v>
      </c>
      <c r="B3194" s="60" t="s">
        <v>120</v>
      </c>
      <c r="C3194" s="60">
        <v>100</v>
      </c>
      <c r="D3194" s="60">
        <v>0</v>
      </c>
      <c r="E3194" s="60">
        <f t="shared" si="49"/>
        <v>0</v>
      </c>
    </row>
    <row r="3195" spans="1:5" x14ac:dyDescent="0.25">
      <c r="A3195" s="60">
        <v>510</v>
      </c>
      <c r="B3195" s="60" t="s">
        <v>120</v>
      </c>
      <c r="C3195" s="60">
        <v>110</v>
      </c>
      <c r="D3195" s="60">
        <v>19315260</v>
      </c>
      <c r="E3195" s="60">
        <f t="shared" si="49"/>
        <v>-19315260</v>
      </c>
    </row>
    <row r="3196" spans="1:5" x14ac:dyDescent="0.25">
      <c r="A3196" s="60">
        <v>510</v>
      </c>
      <c r="B3196" s="60" t="s">
        <v>120</v>
      </c>
      <c r="C3196" s="60">
        <v>120</v>
      </c>
      <c r="D3196" s="60">
        <v>0</v>
      </c>
      <c r="E3196" s="60">
        <f t="shared" si="49"/>
        <v>0</v>
      </c>
    </row>
    <row r="3197" spans="1:5" x14ac:dyDescent="0.25">
      <c r="A3197" s="60">
        <v>510</v>
      </c>
      <c r="B3197" s="60" t="s">
        <v>120</v>
      </c>
      <c r="C3197" s="60">
        <v>130</v>
      </c>
      <c r="D3197" s="60">
        <v>0</v>
      </c>
      <c r="E3197" s="60">
        <f t="shared" si="49"/>
        <v>0</v>
      </c>
    </row>
    <row r="3198" spans="1:5" x14ac:dyDescent="0.25">
      <c r="A3198" s="60">
        <v>510</v>
      </c>
      <c r="B3198" s="60" t="s">
        <v>120</v>
      </c>
      <c r="C3198" s="60">
        <v>140</v>
      </c>
      <c r="D3198" s="60">
        <v>9606880</v>
      </c>
      <c r="E3198" s="60">
        <f t="shared" si="49"/>
        <v>-9606880</v>
      </c>
    </row>
    <row r="3199" spans="1:5" x14ac:dyDescent="0.25">
      <c r="A3199" s="60">
        <v>510</v>
      </c>
      <c r="B3199" s="60" t="s">
        <v>120</v>
      </c>
      <c r="C3199" s="60">
        <v>141</v>
      </c>
      <c r="D3199" s="60">
        <v>1156580</v>
      </c>
      <c r="E3199" s="60">
        <f t="shared" si="49"/>
        <v>-1156580</v>
      </c>
    </row>
    <row r="3200" spans="1:5" x14ac:dyDescent="0.25">
      <c r="A3200" s="60">
        <v>510</v>
      </c>
      <c r="B3200" s="60" t="s">
        <v>120</v>
      </c>
      <c r="C3200" s="60">
        <v>150</v>
      </c>
      <c r="D3200" s="60">
        <v>0</v>
      </c>
      <c r="E3200" s="60">
        <f t="shared" si="49"/>
        <v>0</v>
      </c>
    </row>
    <row r="3201" spans="1:5" x14ac:dyDescent="0.25">
      <c r="A3201" s="60">
        <v>510</v>
      </c>
      <c r="B3201" s="60" t="s">
        <v>120</v>
      </c>
      <c r="C3201" s="60">
        <v>160</v>
      </c>
      <c r="D3201" s="60">
        <v>0</v>
      </c>
      <c r="E3201" s="60">
        <f t="shared" si="49"/>
        <v>0</v>
      </c>
    </row>
    <row r="3202" spans="1:5" x14ac:dyDescent="0.25">
      <c r="A3202" s="60">
        <v>510</v>
      </c>
      <c r="B3202" s="60" t="s">
        <v>120</v>
      </c>
      <c r="C3202" s="60">
        <v>200</v>
      </c>
      <c r="D3202" s="60">
        <v>170130</v>
      </c>
      <c r="E3202" s="60">
        <f t="shared" ref="E3202:E3265" si="50">IF(C3202&lt;100,D3202,D3202*-1)</f>
        <v>-170130</v>
      </c>
    </row>
    <row r="3203" spans="1:5" x14ac:dyDescent="0.25">
      <c r="A3203" s="60">
        <v>510</v>
      </c>
      <c r="B3203" s="60" t="s">
        <v>120</v>
      </c>
      <c r="C3203" s="60">
        <v>210</v>
      </c>
      <c r="D3203" s="60">
        <v>0</v>
      </c>
      <c r="E3203" s="60">
        <f t="shared" si="50"/>
        <v>0</v>
      </c>
    </row>
    <row r="3204" spans="1:5" x14ac:dyDescent="0.25">
      <c r="A3204" s="60">
        <v>510</v>
      </c>
      <c r="B3204" s="60" t="s">
        <v>120</v>
      </c>
      <c r="C3204" s="60">
        <v>220</v>
      </c>
      <c r="D3204" s="60">
        <v>0</v>
      </c>
      <c r="E3204" s="60">
        <f t="shared" si="50"/>
        <v>0</v>
      </c>
    </row>
    <row r="3205" spans="1:5" x14ac:dyDescent="0.25">
      <c r="A3205" s="60">
        <v>510</v>
      </c>
      <c r="B3205" s="60" t="s">
        <v>120</v>
      </c>
      <c r="C3205" s="60">
        <v>230</v>
      </c>
      <c r="D3205" s="60">
        <v>75113</v>
      </c>
      <c r="E3205" s="60">
        <f t="shared" si="50"/>
        <v>-75113</v>
      </c>
    </row>
    <row r="3206" spans="1:5" x14ac:dyDescent="0.25">
      <c r="A3206" s="60">
        <v>510</v>
      </c>
      <c r="B3206" s="60" t="s">
        <v>120</v>
      </c>
      <c r="C3206" s="60">
        <v>260</v>
      </c>
      <c r="D3206" s="60">
        <v>0</v>
      </c>
      <c r="E3206" s="60">
        <f t="shared" si="50"/>
        <v>0</v>
      </c>
    </row>
    <row r="3207" spans="1:5" x14ac:dyDescent="0.25">
      <c r="A3207" s="60">
        <v>510</v>
      </c>
      <c r="B3207" s="60" t="s">
        <v>120</v>
      </c>
      <c r="C3207" s="60">
        <v>298</v>
      </c>
      <c r="D3207" s="60">
        <v>0</v>
      </c>
      <c r="E3207" s="60">
        <f t="shared" si="50"/>
        <v>0</v>
      </c>
    </row>
    <row r="3208" spans="1:5" x14ac:dyDescent="0.25">
      <c r="A3208" s="60">
        <v>510</v>
      </c>
      <c r="B3208" s="60" t="s">
        <v>121</v>
      </c>
      <c r="C3208" s="60">
        <v>1</v>
      </c>
      <c r="D3208" s="60">
        <v>0</v>
      </c>
      <c r="E3208" s="60">
        <f t="shared" si="50"/>
        <v>0</v>
      </c>
    </row>
    <row r="3209" spans="1:5" x14ac:dyDescent="0.25">
      <c r="A3209" s="60">
        <v>510</v>
      </c>
      <c r="B3209" s="60" t="s">
        <v>121</v>
      </c>
      <c r="C3209" s="60">
        <v>10</v>
      </c>
      <c r="D3209" s="60">
        <v>0</v>
      </c>
      <c r="E3209" s="60">
        <f t="shared" si="50"/>
        <v>0</v>
      </c>
    </row>
    <row r="3210" spans="1:5" x14ac:dyDescent="0.25">
      <c r="A3210" s="60">
        <v>510</v>
      </c>
      <c r="B3210" s="60" t="s">
        <v>121</v>
      </c>
      <c r="C3210" s="60">
        <v>20</v>
      </c>
      <c r="D3210" s="60">
        <v>0</v>
      </c>
      <c r="E3210" s="60">
        <f t="shared" si="50"/>
        <v>0</v>
      </c>
    </row>
    <row r="3211" spans="1:5" x14ac:dyDescent="0.25">
      <c r="A3211" s="60">
        <v>510</v>
      </c>
      <c r="B3211" s="60" t="s">
        <v>121</v>
      </c>
      <c r="C3211" s="60">
        <v>50</v>
      </c>
      <c r="D3211" s="60">
        <v>0</v>
      </c>
      <c r="E3211" s="60">
        <f t="shared" si="50"/>
        <v>0</v>
      </c>
    </row>
    <row r="3212" spans="1:5" x14ac:dyDescent="0.25">
      <c r="A3212" s="60">
        <v>510</v>
      </c>
      <c r="B3212" s="60" t="s">
        <v>121</v>
      </c>
      <c r="C3212" s="60">
        <v>70</v>
      </c>
      <c r="D3212" s="60">
        <v>0</v>
      </c>
      <c r="E3212" s="60">
        <f t="shared" si="50"/>
        <v>0</v>
      </c>
    </row>
    <row r="3213" spans="1:5" x14ac:dyDescent="0.25">
      <c r="A3213" s="60">
        <v>510</v>
      </c>
      <c r="B3213" s="60" t="s">
        <v>121</v>
      </c>
      <c r="C3213" s="60">
        <v>110</v>
      </c>
      <c r="D3213" s="60">
        <v>0</v>
      </c>
      <c r="E3213" s="60">
        <f t="shared" si="50"/>
        <v>0</v>
      </c>
    </row>
    <row r="3214" spans="1:5" x14ac:dyDescent="0.25">
      <c r="A3214" s="60">
        <v>510</v>
      </c>
      <c r="B3214" s="60" t="s">
        <v>121</v>
      </c>
      <c r="C3214" s="60">
        <v>120</v>
      </c>
      <c r="D3214" s="60">
        <v>0</v>
      </c>
      <c r="E3214" s="60">
        <f t="shared" si="50"/>
        <v>0</v>
      </c>
    </row>
    <row r="3215" spans="1:5" x14ac:dyDescent="0.25">
      <c r="A3215" s="60">
        <v>510</v>
      </c>
      <c r="B3215" s="60" t="s">
        <v>121</v>
      </c>
      <c r="C3215" s="60">
        <v>140</v>
      </c>
      <c r="D3215" s="60">
        <v>0</v>
      </c>
      <c r="E3215" s="60">
        <f t="shared" si="50"/>
        <v>0</v>
      </c>
    </row>
    <row r="3216" spans="1:5" x14ac:dyDescent="0.25">
      <c r="A3216" s="60">
        <v>510</v>
      </c>
      <c r="B3216" s="60" t="s">
        <v>121</v>
      </c>
      <c r="C3216" s="60">
        <v>150</v>
      </c>
      <c r="D3216" s="60">
        <v>0</v>
      </c>
      <c r="E3216" s="60">
        <f t="shared" si="50"/>
        <v>0</v>
      </c>
    </row>
    <row r="3217" spans="1:5" x14ac:dyDescent="0.25">
      <c r="A3217" s="60">
        <v>510</v>
      </c>
      <c r="B3217" s="60" t="s">
        <v>121</v>
      </c>
      <c r="C3217" s="60">
        <v>200</v>
      </c>
      <c r="D3217" s="60">
        <v>0</v>
      </c>
      <c r="E3217" s="60">
        <f t="shared" si="50"/>
        <v>0</v>
      </c>
    </row>
    <row r="3218" spans="1:5" x14ac:dyDescent="0.25">
      <c r="A3218" s="60">
        <v>510</v>
      </c>
      <c r="B3218" s="60" t="s">
        <v>121</v>
      </c>
      <c r="C3218" s="60">
        <v>210</v>
      </c>
      <c r="D3218" s="60">
        <v>0</v>
      </c>
      <c r="E3218" s="60">
        <f t="shared" si="50"/>
        <v>0</v>
      </c>
    </row>
    <row r="3219" spans="1:5" x14ac:dyDescent="0.25">
      <c r="A3219" s="60">
        <v>510</v>
      </c>
      <c r="B3219" s="60" t="s">
        <v>121</v>
      </c>
      <c r="C3219" s="60">
        <v>220</v>
      </c>
      <c r="D3219" s="60">
        <v>0</v>
      </c>
      <c r="E3219" s="60">
        <f t="shared" si="50"/>
        <v>0</v>
      </c>
    </row>
    <row r="3220" spans="1:5" x14ac:dyDescent="0.25">
      <c r="A3220" s="60">
        <v>510</v>
      </c>
      <c r="B3220" s="60" t="s">
        <v>121</v>
      </c>
      <c r="C3220" s="60">
        <v>230</v>
      </c>
      <c r="D3220" s="60">
        <v>0</v>
      </c>
      <c r="E3220" s="60">
        <f t="shared" si="50"/>
        <v>0</v>
      </c>
    </row>
    <row r="3221" spans="1:5" x14ac:dyDescent="0.25">
      <c r="A3221" s="60">
        <v>520</v>
      </c>
      <c r="B3221" s="60" t="s">
        <v>117</v>
      </c>
      <c r="C3221" s="60">
        <v>1</v>
      </c>
      <c r="D3221" s="60">
        <v>5536895</v>
      </c>
      <c r="E3221" s="60">
        <f t="shared" si="50"/>
        <v>5536895</v>
      </c>
    </row>
    <row r="3222" spans="1:5" x14ac:dyDescent="0.25">
      <c r="A3222" s="60">
        <v>520</v>
      </c>
      <c r="B3222" s="60" t="s">
        <v>117</v>
      </c>
      <c r="C3222" s="60">
        <v>10</v>
      </c>
      <c r="D3222" s="60">
        <v>905400</v>
      </c>
      <c r="E3222" s="60">
        <f t="shared" si="50"/>
        <v>905400</v>
      </c>
    </row>
    <row r="3223" spans="1:5" x14ac:dyDescent="0.25">
      <c r="A3223" s="60">
        <v>520</v>
      </c>
      <c r="B3223" s="60" t="s">
        <v>117</v>
      </c>
      <c r="C3223" s="60">
        <v>20</v>
      </c>
      <c r="D3223" s="60">
        <v>0</v>
      </c>
      <c r="E3223" s="60">
        <f t="shared" si="50"/>
        <v>0</v>
      </c>
    </row>
    <row r="3224" spans="1:5" x14ac:dyDescent="0.25">
      <c r="A3224" s="60">
        <v>520</v>
      </c>
      <c r="B3224" s="60" t="s">
        <v>117</v>
      </c>
      <c r="C3224" s="60">
        <v>50</v>
      </c>
      <c r="D3224" s="60">
        <v>3195180</v>
      </c>
      <c r="E3224" s="60">
        <f t="shared" si="50"/>
        <v>3195180</v>
      </c>
    </row>
    <row r="3225" spans="1:5" x14ac:dyDescent="0.25">
      <c r="A3225" s="60">
        <v>520</v>
      </c>
      <c r="B3225" s="60" t="s">
        <v>117</v>
      </c>
      <c r="C3225" s="60">
        <v>70</v>
      </c>
      <c r="D3225" s="60">
        <v>0</v>
      </c>
      <c r="E3225" s="60">
        <f t="shared" si="50"/>
        <v>0</v>
      </c>
    </row>
    <row r="3226" spans="1:5" x14ac:dyDescent="0.25">
      <c r="A3226" s="60">
        <v>520</v>
      </c>
      <c r="B3226" s="60" t="s">
        <v>117</v>
      </c>
      <c r="C3226" s="60">
        <v>110</v>
      </c>
      <c r="D3226" s="60">
        <v>0</v>
      </c>
      <c r="E3226" s="60">
        <f t="shared" si="50"/>
        <v>0</v>
      </c>
    </row>
    <row r="3227" spans="1:5" x14ac:dyDescent="0.25">
      <c r="A3227" s="60">
        <v>520</v>
      </c>
      <c r="B3227" s="60" t="s">
        <v>117</v>
      </c>
      <c r="C3227" s="60">
        <v>120</v>
      </c>
      <c r="D3227" s="60">
        <v>0</v>
      </c>
      <c r="E3227" s="60">
        <f t="shared" si="50"/>
        <v>0</v>
      </c>
    </row>
    <row r="3228" spans="1:5" x14ac:dyDescent="0.25">
      <c r="A3228" s="60">
        <v>520</v>
      </c>
      <c r="B3228" s="60" t="s">
        <v>117</v>
      </c>
      <c r="C3228" s="60">
        <v>130</v>
      </c>
      <c r="D3228" s="60">
        <v>0</v>
      </c>
      <c r="E3228" s="60">
        <f t="shared" si="50"/>
        <v>0</v>
      </c>
    </row>
    <row r="3229" spans="1:5" x14ac:dyDescent="0.25">
      <c r="A3229" s="60">
        <v>520</v>
      </c>
      <c r="B3229" s="60" t="s">
        <v>117</v>
      </c>
      <c r="C3229" s="60">
        <v>140</v>
      </c>
      <c r="D3229" s="60">
        <v>0</v>
      </c>
      <c r="E3229" s="60">
        <f t="shared" si="50"/>
        <v>0</v>
      </c>
    </row>
    <row r="3230" spans="1:5" x14ac:dyDescent="0.25">
      <c r="A3230" s="60">
        <v>520</v>
      </c>
      <c r="B3230" s="60" t="s">
        <v>117</v>
      </c>
      <c r="C3230" s="60">
        <v>150</v>
      </c>
      <c r="D3230" s="60">
        <v>1800000</v>
      </c>
      <c r="E3230" s="60">
        <f t="shared" si="50"/>
        <v>-1800000</v>
      </c>
    </row>
    <row r="3231" spans="1:5" x14ac:dyDescent="0.25">
      <c r="A3231" s="60">
        <v>520</v>
      </c>
      <c r="B3231" s="60" t="s">
        <v>117</v>
      </c>
      <c r="C3231" s="60">
        <v>160</v>
      </c>
      <c r="D3231" s="60">
        <v>0</v>
      </c>
      <c r="E3231" s="60">
        <f t="shared" si="50"/>
        <v>0</v>
      </c>
    </row>
    <row r="3232" spans="1:5" x14ac:dyDescent="0.25">
      <c r="A3232" s="60">
        <v>520</v>
      </c>
      <c r="B3232" s="60" t="s">
        <v>117</v>
      </c>
      <c r="C3232" s="60">
        <v>200</v>
      </c>
      <c r="D3232" s="60">
        <v>4527</v>
      </c>
      <c r="E3232" s="60">
        <f t="shared" si="50"/>
        <v>-4527</v>
      </c>
    </row>
    <row r="3233" spans="1:5" x14ac:dyDescent="0.25">
      <c r="A3233" s="60">
        <v>520</v>
      </c>
      <c r="B3233" s="60" t="s">
        <v>117</v>
      </c>
      <c r="C3233" s="60">
        <v>210</v>
      </c>
      <c r="D3233" s="60">
        <v>1256</v>
      </c>
      <c r="E3233" s="60">
        <f t="shared" si="50"/>
        <v>-1256</v>
      </c>
    </row>
    <row r="3234" spans="1:5" x14ac:dyDescent="0.25">
      <c r="A3234" s="60">
        <v>520</v>
      </c>
      <c r="B3234" s="60" t="s">
        <v>117</v>
      </c>
      <c r="C3234" s="60">
        <v>220</v>
      </c>
      <c r="D3234" s="60">
        <v>0</v>
      </c>
      <c r="E3234" s="60">
        <f t="shared" si="50"/>
        <v>0</v>
      </c>
    </row>
    <row r="3235" spans="1:5" x14ac:dyDescent="0.25">
      <c r="A3235" s="60">
        <v>520</v>
      </c>
      <c r="B3235" s="60" t="s">
        <v>117</v>
      </c>
      <c r="C3235" s="60">
        <v>230</v>
      </c>
      <c r="D3235" s="60">
        <v>0</v>
      </c>
      <c r="E3235" s="60">
        <f t="shared" si="50"/>
        <v>0</v>
      </c>
    </row>
    <row r="3236" spans="1:5" x14ac:dyDescent="0.25">
      <c r="A3236" s="60">
        <v>520</v>
      </c>
      <c r="B3236" s="60" t="s">
        <v>117</v>
      </c>
      <c r="C3236" s="60">
        <v>260</v>
      </c>
      <c r="D3236" s="60">
        <v>0</v>
      </c>
      <c r="E3236" s="60">
        <f t="shared" si="50"/>
        <v>0</v>
      </c>
    </row>
    <row r="3237" spans="1:5" x14ac:dyDescent="0.25">
      <c r="A3237" s="60">
        <v>520</v>
      </c>
      <c r="B3237" s="60" t="s">
        <v>117</v>
      </c>
      <c r="C3237" s="60">
        <v>298</v>
      </c>
      <c r="D3237" s="60">
        <v>0</v>
      </c>
      <c r="E3237" s="60">
        <f t="shared" si="50"/>
        <v>0</v>
      </c>
    </row>
    <row r="3238" spans="1:5" x14ac:dyDescent="0.25">
      <c r="A3238" s="60">
        <v>520</v>
      </c>
      <c r="B3238" s="60" t="s">
        <v>118</v>
      </c>
      <c r="C3238" s="60">
        <v>1</v>
      </c>
      <c r="D3238" s="60">
        <v>1148017</v>
      </c>
      <c r="E3238" s="60">
        <f t="shared" si="50"/>
        <v>1148017</v>
      </c>
    </row>
    <row r="3239" spans="1:5" x14ac:dyDescent="0.25">
      <c r="A3239" s="60">
        <v>520</v>
      </c>
      <c r="B3239" s="60" t="s">
        <v>118</v>
      </c>
      <c r="C3239" s="60">
        <v>10</v>
      </c>
      <c r="D3239" s="60">
        <v>144800</v>
      </c>
      <c r="E3239" s="60">
        <f t="shared" si="50"/>
        <v>144800</v>
      </c>
    </row>
    <row r="3240" spans="1:5" x14ac:dyDescent="0.25">
      <c r="A3240" s="60">
        <v>520</v>
      </c>
      <c r="B3240" s="60" t="s">
        <v>118</v>
      </c>
      <c r="C3240" s="60">
        <v>20</v>
      </c>
      <c r="D3240" s="60">
        <v>0</v>
      </c>
      <c r="E3240" s="60">
        <f t="shared" si="50"/>
        <v>0</v>
      </c>
    </row>
    <row r="3241" spans="1:5" x14ac:dyDescent="0.25">
      <c r="A3241" s="60">
        <v>520</v>
      </c>
      <c r="B3241" s="60" t="s">
        <v>118</v>
      </c>
      <c r="C3241" s="60">
        <v>50</v>
      </c>
      <c r="D3241" s="60">
        <v>0</v>
      </c>
      <c r="E3241" s="60">
        <f t="shared" si="50"/>
        <v>0</v>
      </c>
    </row>
    <row r="3242" spans="1:5" x14ac:dyDescent="0.25">
      <c r="A3242" s="60">
        <v>520</v>
      </c>
      <c r="B3242" s="60" t="s">
        <v>118</v>
      </c>
      <c r="C3242" s="60">
        <v>70</v>
      </c>
      <c r="D3242" s="60">
        <v>0</v>
      </c>
      <c r="E3242" s="60">
        <f t="shared" si="50"/>
        <v>0</v>
      </c>
    </row>
    <row r="3243" spans="1:5" x14ac:dyDescent="0.25">
      <c r="A3243" s="60">
        <v>520</v>
      </c>
      <c r="B3243" s="60" t="s">
        <v>118</v>
      </c>
      <c r="C3243" s="60">
        <v>110</v>
      </c>
      <c r="D3243" s="60">
        <v>0</v>
      </c>
      <c r="E3243" s="60">
        <f t="shared" si="50"/>
        <v>0</v>
      </c>
    </row>
    <row r="3244" spans="1:5" x14ac:dyDescent="0.25">
      <c r="A3244" s="60">
        <v>520</v>
      </c>
      <c r="B3244" s="60" t="s">
        <v>118</v>
      </c>
      <c r="C3244" s="60">
        <v>120</v>
      </c>
      <c r="D3244" s="60">
        <v>0</v>
      </c>
      <c r="E3244" s="60">
        <f t="shared" si="50"/>
        <v>0</v>
      </c>
    </row>
    <row r="3245" spans="1:5" x14ac:dyDescent="0.25">
      <c r="A3245" s="60">
        <v>520</v>
      </c>
      <c r="B3245" s="60" t="s">
        <v>118</v>
      </c>
      <c r="C3245" s="60">
        <v>130</v>
      </c>
      <c r="D3245" s="60">
        <v>0</v>
      </c>
      <c r="E3245" s="60">
        <f t="shared" si="50"/>
        <v>0</v>
      </c>
    </row>
    <row r="3246" spans="1:5" x14ac:dyDescent="0.25">
      <c r="A3246" s="60">
        <v>520</v>
      </c>
      <c r="B3246" s="60" t="s">
        <v>118</v>
      </c>
      <c r="C3246" s="60">
        <v>140</v>
      </c>
      <c r="D3246" s="60">
        <v>0</v>
      </c>
      <c r="E3246" s="60">
        <f t="shared" si="50"/>
        <v>0</v>
      </c>
    </row>
    <row r="3247" spans="1:5" x14ac:dyDescent="0.25">
      <c r="A3247" s="60">
        <v>520</v>
      </c>
      <c r="B3247" s="60" t="s">
        <v>118</v>
      </c>
      <c r="C3247" s="60">
        <v>141</v>
      </c>
      <c r="D3247" s="60">
        <v>51380</v>
      </c>
      <c r="E3247" s="60">
        <f t="shared" si="50"/>
        <v>-51380</v>
      </c>
    </row>
    <row r="3248" spans="1:5" x14ac:dyDescent="0.25">
      <c r="A3248" s="60">
        <v>520</v>
      </c>
      <c r="B3248" s="60" t="s">
        <v>118</v>
      </c>
      <c r="C3248" s="60">
        <v>150</v>
      </c>
      <c r="D3248" s="60">
        <v>620335</v>
      </c>
      <c r="E3248" s="60">
        <f t="shared" si="50"/>
        <v>-620335</v>
      </c>
    </row>
    <row r="3249" spans="1:5" x14ac:dyDescent="0.25">
      <c r="A3249" s="60">
        <v>520</v>
      </c>
      <c r="B3249" s="60" t="s">
        <v>118</v>
      </c>
      <c r="C3249" s="60">
        <v>160</v>
      </c>
      <c r="D3249" s="60">
        <v>229191</v>
      </c>
      <c r="E3249" s="60">
        <f t="shared" si="50"/>
        <v>-229191</v>
      </c>
    </row>
    <row r="3250" spans="1:5" x14ac:dyDescent="0.25">
      <c r="A3250" s="60">
        <v>520</v>
      </c>
      <c r="B3250" s="60" t="s">
        <v>118</v>
      </c>
      <c r="C3250" s="60">
        <v>200</v>
      </c>
      <c r="D3250" s="60">
        <v>632</v>
      </c>
      <c r="E3250" s="60">
        <f t="shared" si="50"/>
        <v>-632</v>
      </c>
    </row>
    <row r="3251" spans="1:5" x14ac:dyDescent="0.25">
      <c r="A3251" s="60">
        <v>520</v>
      </c>
      <c r="B3251" s="60" t="s">
        <v>118</v>
      </c>
      <c r="C3251" s="60">
        <v>210</v>
      </c>
      <c r="D3251" s="60">
        <v>0</v>
      </c>
      <c r="E3251" s="60">
        <f t="shared" si="50"/>
        <v>0</v>
      </c>
    </row>
    <row r="3252" spans="1:5" x14ac:dyDescent="0.25">
      <c r="A3252" s="60">
        <v>520</v>
      </c>
      <c r="B3252" s="60" t="s">
        <v>118</v>
      </c>
      <c r="C3252" s="60">
        <v>220</v>
      </c>
      <c r="D3252" s="60">
        <v>0</v>
      </c>
      <c r="E3252" s="60">
        <f t="shared" si="50"/>
        <v>0</v>
      </c>
    </row>
    <row r="3253" spans="1:5" x14ac:dyDescent="0.25">
      <c r="A3253" s="60">
        <v>520</v>
      </c>
      <c r="B3253" s="60" t="s">
        <v>118</v>
      </c>
      <c r="C3253" s="60">
        <v>230</v>
      </c>
      <c r="D3253" s="60">
        <v>2747</v>
      </c>
      <c r="E3253" s="60">
        <f t="shared" si="50"/>
        <v>-2747</v>
      </c>
    </row>
    <row r="3254" spans="1:5" x14ac:dyDescent="0.25">
      <c r="A3254" s="60">
        <v>520</v>
      </c>
      <c r="B3254" s="60" t="s">
        <v>118</v>
      </c>
      <c r="C3254" s="60">
        <v>260</v>
      </c>
      <c r="D3254" s="60">
        <v>-229191</v>
      </c>
      <c r="E3254" s="60">
        <f t="shared" si="50"/>
        <v>229191</v>
      </c>
    </row>
    <row r="3255" spans="1:5" x14ac:dyDescent="0.25">
      <c r="A3255" s="60">
        <v>520</v>
      </c>
      <c r="B3255" s="60" t="s">
        <v>118</v>
      </c>
      <c r="C3255" s="60">
        <v>270</v>
      </c>
      <c r="D3255" s="60">
        <v>0</v>
      </c>
      <c r="E3255" s="60">
        <f t="shared" si="50"/>
        <v>0</v>
      </c>
    </row>
    <row r="3256" spans="1:5" x14ac:dyDescent="0.25">
      <c r="A3256" s="60">
        <v>520</v>
      </c>
      <c r="B3256" s="60" t="s">
        <v>118</v>
      </c>
      <c r="C3256" s="60">
        <v>280</v>
      </c>
      <c r="D3256" s="60">
        <v>0</v>
      </c>
      <c r="E3256" s="60">
        <f t="shared" si="50"/>
        <v>0</v>
      </c>
    </row>
    <row r="3257" spans="1:5" x14ac:dyDescent="0.25">
      <c r="A3257" s="60">
        <v>520</v>
      </c>
      <c r="B3257" s="60" t="s">
        <v>118</v>
      </c>
      <c r="C3257" s="60">
        <v>298</v>
      </c>
      <c r="D3257" s="60">
        <v>0</v>
      </c>
      <c r="E3257" s="60">
        <f t="shared" si="50"/>
        <v>0</v>
      </c>
    </row>
    <row r="3258" spans="1:5" x14ac:dyDescent="0.25">
      <c r="A3258" s="60">
        <v>520</v>
      </c>
      <c r="B3258" s="60" t="s">
        <v>119</v>
      </c>
      <c r="C3258" s="60">
        <v>1</v>
      </c>
      <c r="D3258" s="60">
        <v>0</v>
      </c>
      <c r="E3258" s="60">
        <f t="shared" si="50"/>
        <v>0</v>
      </c>
    </row>
    <row r="3259" spans="1:5" x14ac:dyDescent="0.25">
      <c r="A3259" s="60">
        <v>520</v>
      </c>
      <c r="B3259" s="60" t="s">
        <v>119</v>
      </c>
      <c r="C3259" s="60">
        <v>10</v>
      </c>
      <c r="D3259" s="60">
        <v>0</v>
      </c>
      <c r="E3259" s="60">
        <f t="shared" si="50"/>
        <v>0</v>
      </c>
    </row>
    <row r="3260" spans="1:5" x14ac:dyDescent="0.25">
      <c r="A3260" s="60">
        <v>520</v>
      </c>
      <c r="B3260" s="60" t="s">
        <v>119</v>
      </c>
      <c r="C3260" s="60">
        <v>20</v>
      </c>
      <c r="D3260" s="60">
        <v>0</v>
      </c>
      <c r="E3260" s="60">
        <f t="shared" si="50"/>
        <v>0</v>
      </c>
    </row>
    <row r="3261" spans="1:5" x14ac:dyDescent="0.25">
      <c r="A3261" s="60">
        <v>520</v>
      </c>
      <c r="B3261" s="60" t="s">
        <v>119</v>
      </c>
      <c r="C3261" s="60">
        <v>50</v>
      </c>
      <c r="D3261" s="60">
        <v>0</v>
      </c>
      <c r="E3261" s="60">
        <f t="shared" si="50"/>
        <v>0</v>
      </c>
    </row>
    <row r="3262" spans="1:5" x14ac:dyDescent="0.25">
      <c r="A3262" s="60">
        <v>520</v>
      </c>
      <c r="B3262" s="60" t="s">
        <v>119</v>
      </c>
      <c r="C3262" s="60">
        <v>70</v>
      </c>
      <c r="D3262" s="60">
        <v>0</v>
      </c>
      <c r="E3262" s="60">
        <f t="shared" si="50"/>
        <v>0</v>
      </c>
    </row>
    <row r="3263" spans="1:5" x14ac:dyDescent="0.25">
      <c r="A3263" s="60">
        <v>520</v>
      </c>
      <c r="B3263" s="60" t="s">
        <v>119</v>
      </c>
      <c r="C3263" s="60">
        <v>110</v>
      </c>
      <c r="D3263" s="60">
        <v>0</v>
      </c>
      <c r="E3263" s="60">
        <f t="shared" si="50"/>
        <v>0</v>
      </c>
    </row>
    <row r="3264" spans="1:5" x14ac:dyDescent="0.25">
      <c r="A3264" s="60">
        <v>520</v>
      </c>
      <c r="B3264" s="60" t="s">
        <v>119</v>
      </c>
      <c r="C3264" s="60">
        <v>140</v>
      </c>
      <c r="D3264" s="60">
        <v>0</v>
      </c>
      <c r="E3264" s="60">
        <f t="shared" si="50"/>
        <v>0</v>
      </c>
    </row>
    <row r="3265" spans="1:5" x14ac:dyDescent="0.25">
      <c r="A3265" s="60">
        <v>520</v>
      </c>
      <c r="B3265" s="60" t="s">
        <v>119</v>
      </c>
      <c r="C3265" s="60">
        <v>150</v>
      </c>
      <c r="D3265" s="60">
        <v>0</v>
      </c>
      <c r="E3265" s="60">
        <f t="shared" si="50"/>
        <v>0</v>
      </c>
    </row>
    <row r="3266" spans="1:5" x14ac:dyDescent="0.25">
      <c r="A3266" s="60">
        <v>520</v>
      </c>
      <c r="B3266" s="60" t="s">
        <v>119</v>
      </c>
      <c r="C3266" s="60">
        <v>200</v>
      </c>
      <c r="D3266" s="60">
        <v>0</v>
      </c>
      <c r="E3266" s="60">
        <f t="shared" ref="E3266:E3329" si="51">IF(C3266&lt;100,D3266,D3266*-1)</f>
        <v>0</v>
      </c>
    </row>
    <row r="3267" spans="1:5" x14ac:dyDescent="0.25">
      <c r="A3267" s="60">
        <v>520</v>
      </c>
      <c r="B3267" s="60" t="s">
        <v>119</v>
      </c>
      <c r="C3267" s="60">
        <v>210</v>
      </c>
      <c r="D3267" s="60">
        <v>0</v>
      </c>
      <c r="E3267" s="60">
        <f t="shared" si="51"/>
        <v>0</v>
      </c>
    </row>
    <row r="3268" spans="1:5" x14ac:dyDescent="0.25">
      <c r="A3268" s="60">
        <v>520</v>
      </c>
      <c r="B3268" s="60" t="s">
        <v>119</v>
      </c>
      <c r="C3268" s="60">
        <v>220</v>
      </c>
      <c r="D3268" s="60">
        <v>0</v>
      </c>
      <c r="E3268" s="60">
        <f t="shared" si="51"/>
        <v>0</v>
      </c>
    </row>
    <row r="3269" spans="1:5" x14ac:dyDescent="0.25">
      <c r="A3269" s="60">
        <v>520</v>
      </c>
      <c r="B3269" s="60" t="s">
        <v>119</v>
      </c>
      <c r="C3269" s="60">
        <v>230</v>
      </c>
      <c r="D3269" s="60">
        <v>0</v>
      </c>
      <c r="E3269" s="60">
        <f t="shared" si="51"/>
        <v>0</v>
      </c>
    </row>
    <row r="3270" spans="1:5" x14ac:dyDescent="0.25">
      <c r="A3270" s="60">
        <v>520</v>
      </c>
      <c r="B3270" s="60" t="s">
        <v>119</v>
      </c>
      <c r="C3270" s="60">
        <v>260</v>
      </c>
      <c r="D3270" s="60">
        <v>0</v>
      </c>
      <c r="E3270" s="60">
        <f t="shared" si="51"/>
        <v>0</v>
      </c>
    </row>
    <row r="3271" spans="1:5" x14ac:dyDescent="0.25">
      <c r="A3271" s="60">
        <v>520</v>
      </c>
      <c r="B3271" s="60" t="s">
        <v>120</v>
      </c>
      <c r="C3271" s="60">
        <v>1</v>
      </c>
      <c r="D3271" s="60">
        <v>1222412</v>
      </c>
      <c r="E3271" s="60">
        <f t="shared" si="51"/>
        <v>1222412</v>
      </c>
    </row>
    <row r="3272" spans="1:5" x14ac:dyDescent="0.25">
      <c r="A3272" s="60">
        <v>520</v>
      </c>
      <c r="B3272" s="60" t="s">
        <v>120</v>
      </c>
      <c r="C3272" s="60">
        <v>10</v>
      </c>
      <c r="D3272" s="60">
        <v>690020</v>
      </c>
      <c r="E3272" s="60">
        <f t="shared" si="51"/>
        <v>690020</v>
      </c>
    </row>
    <row r="3273" spans="1:5" x14ac:dyDescent="0.25">
      <c r="A3273" s="60">
        <v>520</v>
      </c>
      <c r="B3273" s="60" t="s">
        <v>120</v>
      </c>
      <c r="C3273" s="60">
        <v>50</v>
      </c>
      <c r="D3273" s="60">
        <v>4934990</v>
      </c>
      <c r="E3273" s="60">
        <f t="shared" si="51"/>
        <v>4934990</v>
      </c>
    </row>
    <row r="3274" spans="1:5" x14ac:dyDescent="0.25">
      <c r="A3274" s="60">
        <v>520</v>
      </c>
      <c r="B3274" s="60" t="s">
        <v>120</v>
      </c>
      <c r="C3274" s="60">
        <v>70</v>
      </c>
      <c r="D3274" s="60">
        <v>-346052</v>
      </c>
      <c r="E3274" s="60">
        <f t="shared" si="51"/>
        <v>-346052</v>
      </c>
    </row>
    <row r="3275" spans="1:5" x14ac:dyDescent="0.25">
      <c r="A3275" s="60">
        <v>520</v>
      </c>
      <c r="B3275" s="60" t="s">
        <v>120</v>
      </c>
      <c r="C3275" s="60">
        <v>110</v>
      </c>
      <c r="D3275" s="60">
        <v>0</v>
      </c>
      <c r="E3275" s="60">
        <f t="shared" si="51"/>
        <v>0</v>
      </c>
    </row>
    <row r="3276" spans="1:5" x14ac:dyDescent="0.25">
      <c r="A3276" s="60">
        <v>520</v>
      </c>
      <c r="B3276" s="60" t="s">
        <v>120</v>
      </c>
      <c r="C3276" s="60">
        <v>120</v>
      </c>
      <c r="D3276" s="60">
        <v>11200</v>
      </c>
      <c r="E3276" s="60">
        <f t="shared" si="51"/>
        <v>-11200</v>
      </c>
    </row>
    <row r="3277" spans="1:5" x14ac:dyDescent="0.25">
      <c r="A3277" s="60">
        <v>520</v>
      </c>
      <c r="B3277" s="60" t="s">
        <v>120</v>
      </c>
      <c r="C3277" s="60">
        <v>130</v>
      </c>
      <c r="D3277" s="60">
        <v>0</v>
      </c>
      <c r="E3277" s="60">
        <f t="shared" si="51"/>
        <v>0</v>
      </c>
    </row>
    <row r="3278" spans="1:5" x14ac:dyDescent="0.25">
      <c r="A3278" s="60">
        <v>520</v>
      </c>
      <c r="B3278" s="60" t="s">
        <v>120</v>
      </c>
      <c r="C3278" s="60">
        <v>140</v>
      </c>
      <c r="D3278" s="60">
        <v>0</v>
      </c>
      <c r="E3278" s="60">
        <f t="shared" si="51"/>
        <v>0</v>
      </c>
    </row>
    <row r="3279" spans="1:5" x14ac:dyDescent="0.25">
      <c r="A3279" s="60">
        <v>520</v>
      </c>
      <c r="B3279" s="60" t="s">
        <v>120</v>
      </c>
      <c r="C3279" s="60">
        <v>150</v>
      </c>
      <c r="D3279" s="60">
        <v>5108980</v>
      </c>
      <c r="E3279" s="60">
        <f t="shared" si="51"/>
        <v>-5108980</v>
      </c>
    </row>
    <row r="3280" spans="1:5" x14ac:dyDescent="0.25">
      <c r="A3280" s="60">
        <v>520</v>
      </c>
      <c r="B3280" s="60" t="s">
        <v>120</v>
      </c>
      <c r="C3280" s="60">
        <v>160</v>
      </c>
      <c r="D3280" s="60">
        <v>605087</v>
      </c>
      <c r="E3280" s="60">
        <f t="shared" si="51"/>
        <v>-605087</v>
      </c>
    </row>
    <row r="3281" spans="1:5" x14ac:dyDescent="0.25">
      <c r="A3281" s="60">
        <v>520</v>
      </c>
      <c r="B3281" s="60" t="s">
        <v>120</v>
      </c>
      <c r="C3281" s="60">
        <v>200</v>
      </c>
      <c r="D3281" s="60">
        <v>6900</v>
      </c>
      <c r="E3281" s="60">
        <f t="shared" si="51"/>
        <v>-6900</v>
      </c>
    </row>
    <row r="3282" spans="1:5" x14ac:dyDescent="0.25">
      <c r="A3282" s="60">
        <v>520</v>
      </c>
      <c r="B3282" s="60" t="s">
        <v>120</v>
      </c>
      <c r="C3282" s="60">
        <v>210</v>
      </c>
      <c r="D3282" s="60">
        <v>0</v>
      </c>
      <c r="E3282" s="60">
        <f t="shared" si="51"/>
        <v>0</v>
      </c>
    </row>
    <row r="3283" spans="1:5" x14ac:dyDescent="0.25">
      <c r="A3283" s="60">
        <v>520</v>
      </c>
      <c r="B3283" s="60" t="s">
        <v>120</v>
      </c>
      <c r="C3283" s="60">
        <v>220</v>
      </c>
      <c r="D3283" s="60">
        <v>784000</v>
      </c>
      <c r="E3283" s="60">
        <f t="shared" si="51"/>
        <v>-784000</v>
      </c>
    </row>
    <row r="3284" spans="1:5" x14ac:dyDescent="0.25">
      <c r="A3284" s="60">
        <v>520</v>
      </c>
      <c r="B3284" s="60" t="s">
        <v>120</v>
      </c>
      <c r="C3284" s="60">
        <v>230</v>
      </c>
      <c r="D3284" s="60">
        <v>383</v>
      </c>
      <c r="E3284" s="60">
        <f t="shared" si="51"/>
        <v>-383</v>
      </c>
    </row>
    <row r="3285" spans="1:5" x14ac:dyDescent="0.25">
      <c r="A3285" s="60">
        <v>520</v>
      </c>
      <c r="B3285" s="60" t="s">
        <v>120</v>
      </c>
      <c r="C3285" s="60">
        <v>260</v>
      </c>
      <c r="D3285" s="60">
        <v>-605087</v>
      </c>
      <c r="E3285" s="60">
        <f t="shared" si="51"/>
        <v>605087</v>
      </c>
    </row>
    <row r="3286" spans="1:5" x14ac:dyDescent="0.25">
      <c r="A3286" s="60">
        <v>520</v>
      </c>
      <c r="B3286" s="60" t="s">
        <v>120</v>
      </c>
      <c r="C3286" s="60">
        <v>298</v>
      </c>
      <c r="D3286" s="60">
        <v>0</v>
      </c>
      <c r="E3286" s="60">
        <f t="shared" si="51"/>
        <v>0</v>
      </c>
    </row>
    <row r="3287" spans="1:5" x14ac:dyDescent="0.25">
      <c r="A3287" s="60">
        <v>520</v>
      </c>
      <c r="B3287" s="60" t="s">
        <v>121</v>
      </c>
      <c r="C3287" s="60">
        <v>1</v>
      </c>
      <c r="D3287" s="60">
        <v>0</v>
      </c>
      <c r="E3287" s="60">
        <f t="shared" si="51"/>
        <v>0</v>
      </c>
    </row>
    <row r="3288" spans="1:5" x14ac:dyDescent="0.25">
      <c r="A3288" s="60">
        <v>520</v>
      </c>
      <c r="B3288" s="60" t="s">
        <v>121</v>
      </c>
      <c r="C3288" s="60">
        <v>10</v>
      </c>
      <c r="D3288" s="60">
        <v>836240</v>
      </c>
      <c r="E3288" s="60">
        <f t="shared" si="51"/>
        <v>836240</v>
      </c>
    </row>
    <row r="3289" spans="1:5" x14ac:dyDescent="0.25">
      <c r="A3289" s="60">
        <v>520</v>
      </c>
      <c r="B3289" s="60" t="s">
        <v>121</v>
      </c>
      <c r="C3289" s="60">
        <v>20</v>
      </c>
      <c r="D3289" s="60">
        <v>0</v>
      </c>
      <c r="E3289" s="60">
        <f t="shared" si="51"/>
        <v>0</v>
      </c>
    </row>
    <row r="3290" spans="1:5" x14ac:dyDescent="0.25">
      <c r="A3290" s="60">
        <v>520</v>
      </c>
      <c r="B3290" s="60" t="s">
        <v>121</v>
      </c>
      <c r="C3290" s="60">
        <v>50</v>
      </c>
      <c r="D3290" s="60">
        <v>17920</v>
      </c>
      <c r="E3290" s="60">
        <f t="shared" si="51"/>
        <v>17920</v>
      </c>
    </row>
    <row r="3291" spans="1:5" x14ac:dyDescent="0.25">
      <c r="A3291" s="60">
        <v>520</v>
      </c>
      <c r="B3291" s="60" t="s">
        <v>121</v>
      </c>
      <c r="C3291" s="60">
        <v>70</v>
      </c>
      <c r="D3291" s="60">
        <v>0</v>
      </c>
      <c r="E3291" s="60">
        <f t="shared" si="51"/>
        <v>0</v>
      </c>
    </row>
    <row r="3292" spans="1:5" x14ac:dyDescent="0.25">
      <c r="A3292" s="60">
        <v>520</v>
      </c>
      <c r="B3292" s="60" t="s">
        <v>121</v>
      </c>
      <c r="C3292" s="60">
        <v>110</v>
      </c>
      <c r="D3292" s="60">
        <v>823340</v>
      </c>
      <c r="E3292" s="60">
        <f t="shared" si="51"/>
        <v>-823340</v>
      </c>
    </row>
    <row r="3293" spans="1:5" x14ac:dyDescent="0.25">
      <c r="A3293" s="60">
        <v>520</v>
      </c>
      <c r="B3293" s="60" t="s">
        <v>121</v>
      </c>
      <c r="C3293" s="60">
        <v>130</v>
      </c>
      <c r="D3293" s="60">
        <v>0</v>
      </c>
      <c r="E3293" s="60">
        <f t="shared" si="51"/>
        <v>0</v>
      </c>
    </row>
    <row r="3294" spans="1:5" x14ac:dyDescent="0.25">
      <c r="A3294" s="60">
        <v>520</v>
      </c>
      <c r="B3294" s="60" t="s">
        <v>121</v>
      </c>
      <c r="C3294" s="60">
        <v>140</v>
      </c>
      <c r="D3294" s="60">
        <v>0</v>
      </c>
      <c r="E3294" s="60">
        <f t="shared" si="51"/>
        <v>0</v>
      </c>
    </row>
    <row r="3295" spans="1:5" x14ac:dyDescent="0.25">
      <c r="A3295" s="60">
        <v>520</v>
      </c>
      <c r="B3295" s="60" t="s">
        <v>121</v>
      </c>
      <c r="C3295" s="60">
        <v>150</v>
      </c>
      <c r="D3295" s="60">
        <v>0</v>
      </c>
      <c r="E3295" s="60">
        <f t="shared" si="51"/>
        <v>0</v>
      </c>
    </row>
    <row r="3296" spans="1:5" x14ac:dyDescent="0.25">
      <c r="A3296" s="60">
        <v>520</v>
      </c>
      <c r="B3296" s="60" t="s">
        <v>121</v>
      </c>
      <c r="C3296" s="60">
        <v>210</v>
      </c>
      <c r="D3296" s="60">
        <v>39754</v>
      </c>
      <c r="E3296" s="60">
        <f t="shared" si="51"/>
        <v>-39754</v>
      </c>
    </row>
    <row r="3297" spans="1:5" x14ac:dyDescent="0.25">
      <c r="A3297" s="60">
        <v>520</v>
      </c>
      <c r="B3297" s="60" t="s">
        <v>121</v>
      </c>
      <c r="C3297" s="60">
        <v>220</v>
      </c>
      <c r="D3297" s="60">
        <v>0</v>
      </c>
      <c r="E3297" s="60">
        <f t="shared" si="51"/>
        <v>0</v>
      </c>
    </row>
    <row r="3298" spans="1:5" x14ac:dyDescent="0.25">
      <c r="A3298" s="60">
        <v>520</v>
      </c>
      <c r="B3298" s="60" t="s">
        <v>121</v>
      </c>
      <c r="C3298" s="60">
        <v>230</v>
      </c>
      <c r="D3298" s="60">
        <v>0</v>
      </c>
      <c r="E3298" s="60">
        <f t="shared" si="51"/>
        <v>0</v>
      </c>
    </row>
    <row r="3299" spans="1:5" x14ac:dyDescent="0.25">
      <c r="A3299" s="60">
        <v>520</v>
      </c>
      <c r="B3299" s="60" t="s">
        <v>121</v>
      </c>
      <c r="C3299" s="60">
        <v>298</v>
      </c>
      <c r="D3299" s="60">
        <v>0</v>
      </c>
      <c r="E3299" s="60">
        <f t="shared" si="51"/>
        <v>0</v>
      </c>
    </row>
    <row r="3300" spans="1:5" x14ac:dyDescent="0.25">
      <c r="A3300" s="60">
        <v>530</v>
      </c>
      <c r="B3300" s="60" t="s">
        <v>117</v>
      </c>
      <c r="C3300" s="60">
        <v>1</v>
      </c>
      <c r="D3300" s="60">
        <v>12817344</v>
      </c>
      <c r="E3300" s="60">
        <f t="shared" si="51"/>
        <v>12817344</v>
      </c>
    </row>
    <row r="3301" spans="1:5" x14ac:dyDescent="0.25">
      <c r="A3301" s="60">
        <v>530</v>
      </c>
      <c r="B3301" s="60" t="s">
        <v>117</v>
      </c>
      <c r="C3301" s="60">
        <v>10</v>
      </c>
      <c r="D3301" s="60">
        <v>6880140</v>
      </c>
      <c r="E3301" s="60">
        <f t="shared" si="51"/>
        <v>6880140</v>
      </c>
    </row>
    <row r="3302" spans="1:5" x14ac:dyDescent="0.25">
      <c r="A3302" s="60">
        <v>530</v>
      </c>
      <c r="B3302" s="60" t="s">
        <v>117</v>
      </c>
      <c r="C3302" s="60">
        <v>50</v>
      </c>
      <c r="D3302" s="60">
        <v>27020</v>
      </c>
      <c r="E3302" s="60">
        <f t="shared" si="51"/>
        <v>27020</v>
      </c>
    </row>
    <row r="3303" spans="1:5" x14ac:dyDescent="0.25">
      <c r="A3303" s="60">
        <v>530</v>
      </c>
      <c r="B3303" s="60" t="s">
        <v>117</v>
      </c>
      <c r="C3303" s="60">
        <v>70</v>
      </c>
      <c r="D3303" s="60">
        <v>0</v>
      </c>
      <c r="E3303" s="60">
        <f t="shared" si="51"/>
        <v>0</v>
      </c>
    </row>
    <row r="3304" spans="1:5" x14ac:dyDescent="0.25">
      <c r="A3304" s="60">
        <v>530</v>
      </c>
      <c r="B3304" s="60" t="s">
        <v>117</v>
      </c>
      <c r="C3304" s="60">
        <v>110</v>
      </c>
      <c r="D3304" s="60">
        <v>2521060</v>
      </c>
      <c r="E3304" s="60">
        <f t="shared" si="51"/>
        <v>-2521060</v>
      </c>
    </row>
    <row r="3305" spans="1:5" x14ac:dyDescent="0.25">
      <c r="A3305" s="60">
        <v>530</v>
      </c>
      <c r="B3305" s="60" t="s">
        <v>117</v>
      </c>
      <c r="C3305" s="60">
        <v>120</v>
      </c>
      <c r="D3305" s="60">
        <v>0</v>
      </c>
      <c r="E3305" s="60">
        <f t="shared" si="51"/>
        <v>0</v>
      </c>
    </row>
    <row r="3306" spans="1:5" x14ac:dyDescent="0.25">
      <c r="A3306" s="60">
        <v>530</v>
      </c>
      <c r="B3306" s="60" t="s">
        <v>117</v>
      </c>
      <c r="C3306" s="60">
        <v>130</v>
      </c>
      <c r="D3306" s="60">
        <v>0</v>
      </c>
      <c r="E3306" s="60">
        <f t="shared" si="51"/>
        <v>0</v>
      </c>
    </row>
    <row r="3307" spans="1:5" x14ac:dyDescent="0.25">
      <c r="A3307" s="60">
        <v>530</v>
      </c>
      <c r="B3307" s="60" t="s">
        <v>117</v>
      </c>
      <c r="C3307" s="60">
        <v>140</v>
      </c>
      <c r="D3307" s="60">
        <v>1887260</v>
      </c>
      <c r="E3307" s="60">
        <f t="shared" si="51"/>
        <v>-1887260</v>
      </c>
    </row>
    <row r="3308" spans="1:5" x14ac:dyDescent="0.25">
      <c r="A3308" s="60">
        <v>530</v>
      </c>
      <c r="B3308" s="60" t="s">
        <v>117</v>
      </c>
      <c r="C3308" s="60">
        <v>141</v>
      </c>
      <c r="D3308" s="60">
        <v>1390320</v>
      </c>
      <c r="E3308" s="60">
        <f t="shared" si="51"/>
        <v>-1390320</v>
      </c>
    </row>
    <row r="3309" spans="1:5" x14ac:dyDescent="0.25">
      <c r="A3309" s="60">
        <v>530</v>
      </c>
      <c r="B3309" s="60" t="s">
        <v>117</v>
      </c>
      <c r="C3309" s="60">
        <v>200</v>
      </c>
      <c r="D3309" s="60">
        <v>32905</v>
      </c>
      <c r="E3309" s="60">
        <f t="shared" si="51"/>
        <v>-32905</v>
      </c>
    </row>
    <row r="3310" spans="1:5" x14ac:dyDescent="0.25">
      <c r="A3310" s="60">
        <v>530</v>
      </c>
      <c r="B3310" s="60" t="s">
        <v>117</v>
      </c>
      <c r="C3310" s="60">
        <v>210</v>
      </c>
      <c r="D3310" s="60">
        <v>21327</v>
      </c>
      <c r="E3310" s="60">
        <f t="shared" si="51"/>
        <v>-21327</v>
      </c>
    </row>
    <row r="3311" spans="1:5" x14ac:dyDescent="0.25">
      <c r="A3311" s="60">
        <v>530</v>
      </c>
      <c r="B3311" s="60" t="s">
        <v>117</v>
      </c>
      <c r="C3311" s="60">
        <v>220</v>
      </c>
      <c r="D3311" s="60">
        <v>0</v>
      </c>
      <c r="E3311" s="60">
        <f t="shared" si="51"/>
        <v>0</v>
      </c>
    </row>
    <row r="3312" spans="1:5" x14ac:dyDescent="0.25">
      <c r="A3312" s="60">
        <v>530</v>
      </c>
      <c r="B3312" s="60" t="s">
        <v>117</v>
      </c>
      <c r="C3312" s="60">
        <v>230</v>
      </c>
      <c r="D3312" s="60">
        <v>0</v>
      </c>
      <c r="E3312" s="60">
        <f t="shared" si="51"/>
        <v>0</v>
      </c>
    </row>
    <row r="3313" spans="1:5" x14ac:dyDescent="0.25">
      <c r="A3313" s="60">
        <v>530</v>
      </c>
      <c r="B3313" s="60" t="s">
        <v>117</v>
      </c>
      <c r="C3313" s="60">
        <v>298</v>
      </c>
      <c r="D3313" s="60">
        <v>0</v>
      </c>
      <c r="E3313" s="60">
        <f t="shared" si="51"/>
        <v>0</v>
      </c>
    </row>
    <row r="3314" spans="1:5" x14ac:dyDescent="0.25">
      <c r="A3314" s="60">
        <v>530</v>
      </c>
      <c r="B3314" s="60" t="s">
        <v>118</v>
      </c>
      <c r="C3314" s="60">
        <v>1</v>
      </c>
      <c r="D3314" s="60">
        <v>0</v>
      </c>
      <c r="E3314" s="60">
        <f t="shared" si="51"/>
        <v>0</v>
      </c>
    </row>
    <row r="3315" spans="1:5" x14ac:dyDescent="0.25">
      <c r="A3315" s="60">
        <v>530</v>
      </c>
      <c r="B3315" s="60" t="s">
        <v>118</v>
      </c>
      <c r="C3315" s="60">
        <v>10</v>
      </c>
      <c r="D3315" s="60">
        <v>566280</v>
      </c>
      <c r="E3315" s="60">
        <f t="shared" si="51"/>
        <v>566280</v>
      </c>
    </row>
    <row r="3316" spans="1:5" x14ac:dyDescent="0.25">
      <c r="A3316" s="60">
        <v>530</v>
      </c>
      <c r="B3316" s="60" t="s">
        <v>118</v>
      </c>
      <c r="C3316" s="60">
        <v>20</v>
      </c>
      <c r="D3316" s="60">
        <v>0</v>
      </c>
      <c r="E3316" s="60">
        <f t="shared" si="51"/>
        <v>0</v>
      </c>
    </row>
    <row r="3317" spans="1:5" x14ac:dyDescent="0.25">
      <c r="A3317" s="60">
        <v>530</v>
      </c>
      <c r="B3317" s="60" t="s">
        <v>118</v>
      </c>
      <c r="C3317" s="60">
        <v>50</v>
      </c>
      <c r="D3317" s="60">
        <v>0</v>
      </c>
      <c r="E3317" s="60">
        <f t="shared" si="51"/>
        <v>0</v>
      </c>
    </row>
    <row r="3318" spans="1:5" x14ac:dyDescent="0.25">
      <c r="A3318" s="60">
        <v>530</v>
      </c>
      <c r="B3318" s="60" t="s">
        <v>118</v>
      </c>
      <c r="C3318" s="60">
        <v>70</v>
      </c>
      <c r="D3318" s="60">
        <v>0</v>
      </c>
      <c r="E3318" s="60">
        <f t="shared" si="51"/>
        <v>0</v>
      </c>
    </row>
    <row r="3319" spans="1:5" x14ac:dyDescent="0.25">
      <c r="A3319" s="60">
        <v>530</v>
      </c>
      <c r="B3319" s="60" t="s">
        <v>118</v>
      </c>
      <c r="C3319" s="60">
        <v>100</v>
      </c>
      <c r="D3319" s="60">
        <v>0</v>
      </c>
      <c r="E3319" s="60">
        <f t="shared" si="51"/>
        <v>0</v>
      </c>
    </row>
    <row r="3320" spans="1:5" x14ac:dyDescent="0.25">
      <c r="A3320" s="60">
        <v>530</v>
      </c>
      <c r="B3320" s="60" t="s">
        <v>118</v>
      </c>
      <c r="C3320" s="60">
        <v>110</v>
      </c>
      <c r="D3320" s="60">
        <v>0</v>
      </c>
      <c r="E3320" s="60">
        <f t="shared" si="51"/>
        <v>0</v>
      </c>
    </row>
    <row r="3321" spans="1:5" x14ac:dyDescent="0.25">
      <c r="A3321" s="60">
        <v>530</v>
      </c>
      <c r="B3321" s="60" t="s">
        <v>118</v>
      </c>
      <c r="C3321" s="60">
        <v>120</v>
      </c>
      <c r="D3321" s="60">
        <v>0</v>
      </c>
      <c r="E3321" s="60">
        <f t="shared" si="51"/>
        <v>0</v>
      </c>
    </row>
    <row r="3322" spans="1:5" x14ac:dyDescent="0.25">
      <c r="A3322" s="60">
        <v>530</v>
      </c>
      <c r="B3322" s="60" t="s">
        <v>118</v>
      </c>
      <c r="C3322" s="60">
        <v>130</v>
      </c>
      <c r="D3322" s="60">
        <v>0</v>
      </c>
      <c r="E3322" s="60">
        <f t="shared" si="51"/>
        <v>0</v>
      </c>
    </row>
    <row r="3323" spans="1:5" x14ac:dyDescent="0.25">
      <c r="A3323" s="60">
        <v>530</v>
      </c>
      <c r="B3323" s="60" t="s">
        <v>118</v>
      </c>
      <c r="C3323" s="60">
        <v>140</v>
      </c>
      <c r="D3323" s="60">
        <v>0</v>
      </c>
      <c r="E3323" s="60">
        <f t="shared" si="51"/>
        <v>0</v>
      </c>
    </row>
    <row r="3324" spans="1:5" x14ac:dyDescent="0.25">
      <c r="A3324" s="60">
        <v>530</v>
      </c>
      <c r="B3324" s="60" t="s">
        <v>118</v>
      </c>
      <c r="C3324" s="60">
        <v>200</v>
      </c>
      <c r="D3324" s="60">
        <v>2831</v>
      </c>
      <c r="E3324" s="60">
        <f t="shared" si="51"/>
        <v>-2831</v>
      </c>
    </row>
    <row r="3325" spans="1:5" x14ac:dyDescent="0.25">
      <c r="A3325" s="60">
        <v>530</v>
      </c>
      <c r="B3325" s="60" t="s">
        <v>118</v>
      </c>
      <c r="C3325" s="60">
        <v>210</v>
      </c>
      <c r="D3325" s="60">
        <v>0</v>
      </c>
      <c r="E3325" s="60">
        <f t="shared" si="51"/>
        <v>0</v>
      </c>
    </row>
    <row r="3326" spans="1:5" x14ac:dyDescent="0.25">
      <c r="A3326" s="60">
        <v>530</v>
      </c>
      <c r="B3326" s="60" t="s">
        <v>118</v>
      </c>
      <c r="C3326" s="60">
        <v>220</v>
      </c>
      <c r="D3326" s="60">
        <v>0</v>
      </c>
      <c r="E3326" s="60">
        <f t="shared" si="51"/>
        <v>0</v>
      </c>
    </row>
    <row r="3327" spans="1:5" x14ac:dyDescent="0.25">
      <c r="A3327" s="60">
        <v>530</v>
      </c>
      <c r="B3327" s="60" t="s">
        <v>118</v>
      </c>
      <c r="C3327" s="60">
        <v>230</v>
      </c>
      <c r="D3327" s="60">
        <v>1886</v>
      </c>
      <c r="E3327" s="60">
        <f t="shared" si="51"/>
        <v>-1886</v>
      </c>
    </row>
    <row r="3328" spans="1:5" x14ac:dyDescent="0.25">
      <c r="A3328" s="60">
        <v>530</v>
      </c>
      <c r="B3328" s="60" t="s">
        <v>118</v>
      </c>
      <c r="C3328" s="60">
        <v>270</v>
      </c>
      <c r="D3328" s="60">
        <v>0</v>
      </c>
      <c r="E3328" s="60">
        <f t="shared" si="51"/>
        <v>0</v>
      </c>
    </row>
    <row r="3329" spans="1:5" x14ac:dyDescent="0.25">
      <c r="A3329" s="60">
        <v>530</v>
      </c>
      <c r="B3329" s="60" t="s">
        <v>118</v>
      </c>
      <c r="C3329" s="60">
        <v>298</v>
      </c>
      <c r="D3329" s="60">
        <v>0</v>
      </c>
      <c r="E3329" s="60">
        <f t="shared" si="51"/>
        <v>0</v>
      </c>
    </row>
    <row r="3330" spans="1:5" x14ac:dyDescent="0.25">
      <c r="A3330" s="60">
        <v>530</v>
      </c>
      <c r="B3330" s="60" t="s">
        <v>119</v>
      </c>
      <c r="C3330" s="60">
        <v>1</v>
      </c>
      <c r="D3330" s="60">
        <v>950064</v>
      </c>
      <c r="E3330" s="60">
        <f t="shared" ref="E3330:E3393" si="52">IF(C3330&lt;100,D3330,D3330*-1)</f>
        <v>950064</v>
      </c>
    </row>
    <row r="3331" spans="1:5" x14ac:dyDescent="0.25">
      <c r="A3331" s="60">
        <v>530</v>
      </c>
      <c r="B3331" s="60" t="s">
        <v>119</v>
      </c>
      <c r="C3331" s="60">
        <v>10</v>
      </c>
      <c r="D3331" s="60">
        <v>575440</v>
      </c>
      <c r="E3331" s="60">
        <f t="shared" si="52"/>
        <v>575440</v>
      </c>
    </row>
    <row r="3332" spans="1:5" x14ac:dyDescent="0.25">
      <c r="A3332" s="60">
        <v>530</v>
      </c>
      <c r="B3332" s="60" t="s">
        <v>119</v>
      </c>
      <c r="C3332" s="60">
        <v>20</v>
      </c>
      <c r="D3332" s="60">
        <v>0</v>
      </c>
      <c r="E3332" s="60">
        <f t="shared" si="52"/>
        <v>0</v>
      </c>
    </row>
    <row r="3333" spans="1:5" x14ac:dyDescent="0.25">
      <c r="A3333" s="60">
        <v>530</v>
      </c>
      <c r="B3333" s="60" t="s">
        <v>119</v>
      </c>
      <c r="C3333" s="60">
        <v>50</v>
      </c>
      <c r="D3333" s="60">
        <v>0</v>
      </c>
      <c r="E3333" s="60">
        <f t="shared" si="52"/>
        <v>0</v>
      </c>
    </row>
    <row r="3334" spans="1:5" x14ac:dyDescent="0.25">
      <c r="A3334" s="60">
        <v>530</v>
      </c>
      <c r="B3334" s="60" t="s">
        <v>119</v>
      </c>
      <c r="C3334" s="60">
        <v>70</v>
      </c>
      <c r="D3334" s="60">
        <v>0</v>
      </c>
      <c r="E3334" s="60">
        <f t="shared" si="52"/>
        <v>0</v>
      </c>
    </row>
    <row r="3335" spans="1:5" x14ac:dyDescent="0.25">
      <c r="A3335" s="60">
        <v>530</v>
      </c>
      <c r="B3335" s="60" t="s">
        <v>119</v>
      </c>
      <c r="C3335" s="60">
        <v>110</v>
      </c>
      <c r="D3335" s="60">
        <v>957640</v>
      </c>
      <c r="E3335" s="60">
        <f t="shared" si="52"/>
        <v>-957640</v>
      </c>
    </row>
    <row r="3336" spans="1:5" x14ac:dyDescent="0.25">
      <c r="A3336" s="60">
        <v>530</v>
      </c>
      <c r="B3336" s="60" t="s">
        <v>119</v>
      </c>
      <c r="C3336" s="60">
        <v>140</v>
      </c>
      <c r="D3336" s="60">
        <v>0</v>
      </c>
      <c r="E3336" s="60">
        <f t="shared" si="52"/>
        <v>0</v>
      </c>
    </row>
    <row r="3337" spans="1:5" x14ac:dyDescent="0.25">
      <c r="A3337" s="60">
        <v>530</v>
      </c>
      <c r="B3337" s="60" t="s">
        <v>119</v>
      </c>
      <c r="C3337" s="60">
        <v>200</v>
      </c>
      <c r="D3337" s="60">
        <v>2877</v>
      </c>
      <c r="E3337" s="60">
        <f t="shared" si="52"/>
        <v>-2877</v>
      </c>
    </row>
    <row r="3338" spans="1:5" x14ac:dyDescent="0.25">
      <c r="A3338" s="60">
        <v>530</v>
      </c>
      <c r="B3338" s="60" t="s">
        <v>119</v>
      </c>
      <c r="C3338" s="60">
        <v>210</v>
      </c>
      <c r="D3338" s="60">
        <v>61</v>
      </c>
      <c r="E3338" s="60">
        <f t="shared" si="52"/>
        <v>-61</v>
      </c>
    </row>
    <row r="3339" spans="1:5" x14ac:dyDescent="0.25">
      <c r="A3339" s="60">
        <v>530</v>
      </c>
      <c r="B3339" s="60" t="s">
        <v>119</v>
      </c>
      <c r="C3339" s="60">
        <v>220</v>
      </c>
      <c r="D3339" s="60">
        <v>0</v>
      </c>
      <c r="E3339" s="60">
        <f t="shared" si="52"/>
        <v>0</v>
      </c>
    </row>
    <row r="3340" spans="1:5" x14ac:dyDescent="0.25">
      <c r="A3340" s="60">
        <v>530</v>
      </c>
      <c r="B3340" s="60" t="s">
        <v>119</v>
      </c>
      <c r="C3340" s="60">
        <v>230</v>
      </c>
      <c r="D3340" s="60">
        <v>0</v>
      </c>
      <c r="E3340" s="60">
        <f t="shared" si="52"/>
        <v>0</v>
      </c>
    </row>
    <row r="3341" spans="1:5" x14ac:dyDescent="0.25">
      <c r="A3341" s="60">
        <v>530</v>
      </c>
      <c r="B3341" s="60" t="s">
        <v>120</v>
      </c>
      <c r="C3341" s="60">
        <v>1</v>
      </c>
      <c r="D3341" s="60">
        <v>0</v>
      </c>
      <c r="E3341" s="60">
        <f t="shared" si="52"/>
        <v>0</v>
      </c>
    </row>
    <row r="3342" spans="1:5" x14ac:dyDescent="0.25">
      <c r="A3342" s="60">
        <v>530</v>
      </c>
      <c r="B3342" s="60" t="s">
        <v>120</v>
      </c>
      <c r="C3342" s="60">
        <v>10</v>
      </c>
      <c r="D3342" s="60">
        <v>0</v>
      </c>
      <c r="E3342" s="60">
        <f t="shared" si="52"/>
        <v>0</v>
      </c>
    </row>
    <row r="3343" spans="1:5" x14ac:dyDescent="0.25">
      <c r="A3343" s="60">
        <v>530</v>
      </c>
      <c r="B3343" s="60" t="s">
        <v>120</v>
      </c>
      <c r="C3343" s="60">
        <v>50</v>
      </c>
      <c r="D3343" s="60">
        <v>0</v>
      </c>
      <c r="E3343" s="60">
        <f t="shared" si="52"/>
        <v>0</v>
      </c>
    </row>
    <row r="3344" spans="1:5" x14ac:dyDescent="0.25">
      <c r="A3344" s="60">
        <v>530</v>
      </c>
      <c r="B3344" s="60" t="s">
        <v>120</v>
      </c>
      <c r="C3344" s="60">
        <v>70</v>
      </c>
      <c r="D3344" s="60">
        <v>0</v>
      </c>
      <c r="E3344" s="60">
        <f t="shared" si="52"/>
        <v>0</v>
      </c>
    </row>
    <row r="3345" spans="1:5" x14ac:dyDescent="0.25">
      <c r="A3345" s="60">
        <v>530</v>
      </c>
      <c r="B3345" s="60" t="s">
        <v>120</v>
      </c>
      <c r="C3345" s="60">
        <v>110</v>
      </c>
      <c r="D3345" s="60">
        <v>0</v>
      </c>
      <c r="E3345" s="60">
        <f t="shared" si="52"/>
        <v>0</v>
      </c>
    </row>
    <row r="3346" spans="1:5" x14ac:dyDescent="0.25">
      <c r="A3346" s="60">
        <v>530</v>
      </c>
      <c r="B3346" s="60" t="s">
        <v>120</v>
      </c>
      <c r="C3346" s="60">
        <v>130</v>
      </c>
      <c r="D3346" s="60">
        <v>0</v>
      </c>
      <c r="E3346" s="60">
        <f t="shared" si="52"/>
        <v>0</v>
      </c>
    </row>
    <row r="3347" spans="1:5" x14ac:dyDescent="0.25">
      <c r="A3347" s="60">
        <v>530</v>
      </c>
      <c r="B3347" s="60" t="s">
        <v>120</v>
      </c>
      <c r="C3347" s="60">
        <v>140</v>
      </c>
      <c r="D3347" s="60">
        <v>0</v>
      </c>
      <c r="E3347" s="60">
        <f t="shared" si="52"/>
        <v>0</v>
      </c>
    </row>
    <row r="3348" spans="1:5" x14ac:dyDescent="0.25">
      <c r="A3348" s="60">
        <v>530</v>
      </c>
      <c r="B3348" s="60" t="s">
        <v>120</v>
      </c>
      <c r="C3348" s="60">
        <v>200</v>
      </c>
      <c r="D3348" s="60">
        <v>0</v>
      </c>
      <c r="E3348" s="60">
        <f t="shared" si="52"/>
        <v>0</v>
      </c>
    </row>
    <row r="3349" spans="1:5" x14ac:dyDescent="0.25">
      <c r="A3349" s="60">
        <v>530</v>
      </c>
      <c r="B3349" s="60" t="s">
        <v>120</v>
      </c>
      <c r="C3349" s="60">
        <v>220</v>
      </c>
      <c r="D3349" s="60">
        <v>0</v>
      </c>
      <c r="E3349" s="60">
        <f t="shared" si="52"/>
        <v>0</v>
      </c>
    </row>
    <row r="3350" spans="1:5" x14ac:dyDescent="0.25">
      <c r="A3350" s="60">
        <v>530</v>
      </c>
      <c r="B3350" s="60" t="s">
        <v>120</v>
      </c>
      <c r="C3350" s="60">
        <v>230</v>
      </c>
      <c r="D3350" s="60">
        <v>0</v>
      </c>
      <c r="E3350" s="60">
        <f t="shared" si="52"/>
        <v>0</v>
      </c>
    </row>
    <row r="3351" spans="1:5" x14ac:dyDescent="0.25">
      <c r="A3351" s="60">
        <v>530</v>
      </c>
      <c r="B3351" s="60" t="s">
        <v>120</v>
      </c>
      <c r="C3351" s="60">
        <v>298</v>
      </c>
      <c r="D3351" s="60">
        <v>0</v>
      </c>
      <c r="E3351" s="60">
        <f t="shared" si="52"/>
        <v>0</v>
      </c>
    </row>
    <row r="3352" spans="1:5" x14ac:dyDescent="0.25">
      <c r="A3352" s="60">
        <v>530</v>
      </c>
      <c r="B3352" s="60" t="s">
        <v>121</v>
      </c>
      <c r="C3352" s="60">
        <v>1</v>
      </c>
      <c r="D3352" s="60">
        <v>0</v>
      </c>
      <c r="E3352" s="60">
        <f t="shared" si="52"/>
        <v>0</v>
      </c>
    </row>
    <row r="3353" spans="1:5" x14ac:dyDescent="0.25">
      <c r="A3353" s="60">
        <v>530</v>
      </c>
      <c r="B3353" s="60" t="s">
        <v>121</v>
      </c>
      <c r="C3353" s="60">
        <v>10</v>
      </c>
      <c r="D3353" s="60">
        <v>94080</v>
      </c>
      <c r="E3353" s="60">
        <f t="shared" si="52"/>
        <v>94080</v>
      </c>
    </row>
    <row r="3354" spans="1:5" x14ac:dyDescent="0.25">
      <c r="A3354" s="60">
        <v>530</v>
      </c>
      <c r="B3354" s="60" t="s">
        <v>121</v>
      </c>
      <c r="C3354" s="60">
        <v>20</v>
      </c>
      <c r="D3354" s="60">
        <v>11327</v>
      </c>
      <c r="E3354" s="60">
        <f t="shared" si="52"/>
        <v>11327</v>
      </c>
    </row>
    <row r="3355" spans="1:5" x14ac:dyDescent="0.25">
      <c r="A3355" s="60">
        <v>530</v>
      </c>
      <c r="B3355" s="60" t="s">
        <v>121</v>
      </c>
      <c r="C3355" s="60">
        <v>50</v>
      </c>
      <c r="D3355" s="60">
        <v>0</v>
      </c>
      <c r="E3355" s="60">
        <f t="shared" si="52"/>
        <v>0</v>
      </c>
    </row>
    <row r="3356" spans="1:5" x14ac:dyDescent="0.25">
      <c r="A3356" s="60">
        <v>530</v>
      </c>
      <c r="B3356" s="60" t="s">
        <v>121</v>
      </c>
      <c r="C3356" s="60">
        <v>70</v>
      </c>
      <c r="D3356" s="60">
        <v>0</v>
      </c>
      <c r="E3356" s="60">
        <f t="shared" si="52"/>
        <v>0</v>
      </c>
    </row>
    <row r="3357" spans="1:5" x14ac:dyDescent="0.25">
      <c r="A3357" s="60">
        <v>530</v>
      </c>
      <c r="B3357" s="60" t="s">
        <v>121</v>
      </c>
      <c r="C3357" s="60">
        <v>110</v>
      </c>
      <c r="D3357" s="60">
        <v>75660</v>
      </c>
      <c r="E3357" s="60">
        <f t="shared" si="52"/>
        <v>-75660</v>
      </c>
    </row>
    <row r="3358" spans="1:5" x14ac:dyDescent="0.25">
      <c r="A3358" s="60">
        <v>530</v>
      </c>
      <c r="B3358" s="60" t="s">
        <v>121</v>
      </c>
      <c r="C3358" s="60">
        <v>140</v>
      </c>
      <c r="D3358" s="60">
        <v>17920</v>
      </c>
      <c r="E3358" s="60">
        <f t="shared" si="52"/>
        <v>-17920</v>
      </c>
    </row>
    <row r="3359" spans="1:5" x14ac:dyDescent="0.25">
      <c r="A3359" s="60">
        <v>530</v>
      </c>
      <c r="B3359" s="60" t="s">
        <v>121</v>
      </c>
      <c r="C3359" s="60">
        <v>210</v>
      </c>
      <c r="D3359" s="60">
        <v>11827</v>
      </c>
      <c r="E3359" s="60">
        <f t="shared" si="52"/>
        <v>-11827</v>
      </c>
    </row>
    <row r="3360" spans="1:5" x14ac:dyDescent="0.25">
      <c r="A3360" s="60">
        <v>530</v>
      </c>
      <c r="B3360" s="60" t="s">
        <v>121</v>
      </c>
      <c r="C3360" s="60">
        <v>220</v>
      </c>
      <c r="D3360" s="60">
        <v>0</v>
      </c>
      <c r="E3360" s="60">
        <f t="shared" si="52"/>
        <v>0</v>
      </c>
    </row>
    <row r="3361" spans="1:5" x14ac:dyDescent="0.25">
      <c r="A3361" s="60">
        <v>530</v>
      </c>
      <c r="B3361" s="60" t="s">
        <v>121</v>
      </c>
      <c r="C3361" s="60">
        <v>230</v>
      </c>
      <c r="D3361" s="60">
        <v>0</v>
      </c>
      <c r="E3361" s="60">
        <f t="shared" si="52"/>
        <v>0</v>
      </c>
    </row>
    <row r="3362" spans="1:5" x14ac:dyDescent="0.25">
      <c r="A3362" s="60">
        <v>540</v>
      </c>
      <c r="B3362" s="60" t="s">
        <v>117</v>
      </c>
      <c r="C3362" s="60">
        <v>1</v>
      </c>
      <c r="D3362" s="60">
        <v>5763709</v>
      </c>
      <c r="E3362" s="60">
        <f t="shared" si="52"/>
        <v>5763709</v>
      </c>
    </row>
    <row r="3363" spans="1:5" x14ac:dyDescent="0.25">
      <c r="A3363" s="60">
        <v>540</v>
      </c>
      <c r="B3363" s="60" t="s">
        <v>117</v>
      </c>
      <c r="C3363" s="60">
        <v>10</v>
      </c>
      <c r="D3363" s="60">
        <v>23418020</v>
      </c>
      <c r="E3363" s="60">
        <f t="shared" si="52"/>
        <v>23418020</v>
      </c>
    </row>
    <row r="3364" spans="1:5" x14ac:dyDescent="0.25">
      <c r="A3364" s="60">
        <v>540</v>
      </c>
      <c r="B3364" s="60" t="s">
        <v>117</v>
      </c>
      <c r="C3364" s="60">
        <v>20</v>
      </c>
      <c r="D3364" s="60">
        <v>454155</v>
      </c>
      <c r="E3364" s="60">
        <f t="shared" si="52"/>
        <v>454155</v>
      </c>
    </row>
    <row r="3365" spans="1:5" x14ac:dyDescent="0.25">
      <c r="A3365" s="60">
        <v>540</v>
      </c>
      <c r="B3365" s="60" t="s">
        <v>117</v>
      </c>
      <c r="C3365" s="60">
        <v>50</v>
      </c>
      <c r="D3365" s="60">
        <v>0</v>
      </c>
      <c r="E3365" s="60">
        <f t="shared" si="52"/>
        <v>0</v>
      </c>
    </row>
    <row r="3366" spans="1:5" x14ac:dyDescent="0.25">
      <c r="A3366" s="60">
        <v>540</v>
      </c>
      <c r="B3366" s="60" t="s">
        <v>117</v>
      </c>
      <c r="C3366" s="60">
        <v>70</v>
      </c>
      <c r="D3366" s="60">
        <v>0</v>
      </c>
      <c r="E3366" s="60">
        <f t="shared" si="52"/>
        <v>0</v>
      </c>
    </row>
    <row r="3367" spans="1:5" x14ac:dyDescent="0.25">
      <c r="A3367" s="60">
        <v>540</v>
      </c>
      <c r="B3367" s="60" t="s">
        <v>117</v>
      </c>
      <c r="C3367" s="60">
        <v>110</v>
      </c>
      <c r="D3367" s="60">
        <v>12600820</v>
      </c>
      <c r="E3367" s="60">
        <f t="shared" si="52"/>
        <v>-12600820</v>
      </c>
    </row>
    <row r="3368" spans="1:5" x14ac:dyDescent="0.25">
      <c r="A3368" s="60">
        <v>540</v>
      </c>
      <c r="B3368" s="60" t="s">
        <v>117</v>
      </c>
      <c r="C3368" s="60">
        <v>120</v>
      </c>
      <c r="D3368" s="60">
        <v>0</v>
      </c>
      <c r="E3368" s="60">
        <f t="shared" si="52"/>
        <v>0</v>
      </c>
    </row>
    <row r="3369" spans="1:5" x14ac:dyDescent="0.25">
      <c r="A3369" s="60">
        <v>540</v>
      </c>
      <c r="B3369" s="60" t="s">
        <v>117</v>
      </c>
      <c r="C3369" s="60">
        <v>130</v>
      </c>
      <c r="D3369" s="60">
        <v>0</v>
      </c>
      <c r="E3369" s="60">
        <f t="shared" si="52"/>
        <v>0</v>
      </c>
    </row>
    <row r="3370" spans="1:5" x14ac:dyDescent="0.25">
      <c r="A3370" s="60">
        <v>540</v>
      </c>
      <c r="B3370" s="60" t="s">
        <v>117</v>
      </c>
      <c r="C3370" s="60">
        <v>140</v>
      </c>
      <c r="D3370" s="60">
        <v>16818880</v>
      </c>
      <c r="E3370" s="60">
        <f t="shared" si="52"/>
        <v>-16818880</v>
      </c>
    </row>
    <row r="3371" spans="1:5" x14ac:dyDescent="0.25">
      <c r="A3371" s="60">
        <v>540</v>
      </c>
      <c r="B3371" s="60" t="s">
        <v>117</v>
      </c>
      <c r="C3371" s="60">
        <v>200</v>
      </c>
      <c r="D3371" s="60">
        <v>116789</v>
      </c>
      <c r="E3371" s="60">
        <f t="shared" si="52"/>
        <v>-116789</v>
      </c>
    </row>
    <row r="3372" spans="1:5" x14ac:dyDescent="0.25">
      <c r="A3372" s="60">
        <v>540</v>
      </c>
      <c r="B3372" s="60" t="s">
        <v>117</v>
      </c>
      <c r="C3372" s="60">
        <v>210</v>
      </c>
      <c r="D3372" s="60">
        <v>99395</v>
      </c>
      <c r="E3372" s="60">
        <f t="shared" si="52"/>
        <v>-99395</v>
      </c>
    </row>
    <row r="3373" spans="1:5" x14ac:dyDescent="0.25">
      <c r="A3373" s="60">
        <v>540</v>
      </c>
      <c r="B3373" s="60" t="s">
        <v>117</v>
      </c>
      <c r="C3373" s="60">
        <v>220</v>
      </c>
      <c r="D3373" s="60">
        <v>0</v>
      </c>
      <c r="E3373" s="60">
        <f t="shared" si="52"/>
        <v>0</v>
      </c>
    </row>
    <row r="3374" spans="1:5" x14ac:dyDescent="0.25">
      <c r="A3374" s="60">
        <v>540</v>
      </c>
      <c r="B3374" s="60" t="s">
        <v>117</v>
      </c>
      <c r="C3374" s="60">
        <v>230</v>
      </c>
      <c r="D3374" s="60">
        <v>0</v>
      </c>
      <c r="E3374" s="60">
        <f t="shared" si="52"/>
        <v>0</v>
      </c>
    </row>
    <row r="3375" spans="1:5" x14ac:dyDescent="0.25">
      <c r="A3375" s="60">
        <v>540</v>
      </c>
      <c r="B3375" s="60" t="s">
        <v>117</v>
      </c>
      <c r="C3375" s="60">
        <v>298</v>
      </c>
      <c r="D3375" s="60">
        <v>0</v>
      </c>
      <c r="E3375" s="60">
        <f t="shared" si="52"/>
        <v>0</v>
      </c>
    </row>
    <row r="3376" spans="1:5" x14ac:dyDescent="0.25">
      <c r="A3376" s="60">
        <v>540</v>
      </c>
      <c r="B3376" s="60" t="s">
        <v>118</v>
      </c>
      <c r="C3376" s="60">
        <v>1</v>
      </c>
      <c r="D3376" s="60">
        <v>2334526</v>
      </c>
      <c r="E3376" s="60">
        <f t="shared" si="52"/>
        <v>2334526</v>
      </c>
    </row>
    <row r="3377" spans="1:5" x14ac:dyDescent="0.25">
      <c r="A3377" s="60">
        <v>540</v>
      </c>
      <c r="B3377" s="60" t="s">
        <v>118</v>
      </c>
      <c r="C3377" s="60">
        <v>10</v>
      </c>
      <c r="D3377" s="60">
        <v>8376300</v>
      </c>
      <c r="E3377" s="60">
        <f t="shared" si="52"/>
        <v>8376300</v>
      </c>
    </row>
    <row r="3378" spans="1:5" x14ac:dyDescent="0.25">
      <c r="A3378" s="60">
        <v>540</v>
      </c>
      <c r="B3378" s="60" t="s">
        <v>118</v>
      </c>
      <c r="C3378" s="60">
        <v>20</v>
      </c>
      <c r="D3378" s="60">
        <v>0</v>
      </c>
      <c r="E3378" s="60">
        <f t="shared" si="52"/>
        <v>0</v>
      </c>
    </row>
    <row r="3379" spans="1:5" x14ac:dyDescent="0.25">
      <c r="A3379" s="60">
        <v>540</v>
      </c>
      <c r="B3379" s="60" t="s">
        <v>118</v>
      </c>
      <c r="C3379" s="60">
        <v>50</v>
      </c>
      <c r="D3379" s="60">
        <v>0</v>
      </c>
      <c r="E3379" s="60">
        <f t="shared" si="52"/>
        <v>0</v>
      </c>
    </row>
    <row r="3380" spans="1:5" x14ac:dyDescent="0.25">
      <c r="A3380" s="60">
        <v>540</v>
      </c>
      <c r="B3380" s="60" t="s">
        <v>118</v>
      </c>
      <c r="C3380" s="60">
        <v>70</v>
      </c>
      <c r="D3380" s="60">
        <v>0</v>
      </c>
      <c r="E3380" s="60">
        <f t="shared" si="52"/>
        <v>0</v>
      </c>
    </row>
    <row r="3381" spans="1:5" x14ac:dyDescent="0.25">
      <c r="A3381" s="60">
        <v>540</v>
      </c>
      <c r="B3381" s="60" t="s">
        <v>118</v>
      </c>
      <c r="C3381" s="60">
        <v>110</v>
      </c>
      <c r="D3381" s="60">
        <v>8288600</v>
      </c>
      <c r="E3381" s="60">
        <f t="shared" si="52"/>
        <v>-8288600</v>
      </c>
    </row>
    <row r="3382" spans="1:5" x14ac:dyDescent="0.25">
      <c r="A3382" s="60">
        <v>540</v>
      </c>
      <c r="B3382" s="60" t="s">
        <v>118</v>
      </c>
      <c r="C3382" s="60">
        <v>120</v>
      </c>
      <c r="D3382" s="60">
        <v>0</v>
      </c>
      <c r="E3382" s="60">
        <f t="shared" si="52"/>
        <v>0</v>
      </c>
    </row>
    <row r="3383" spans="1:5" x14ac:dyDescent="0.25">
      <c r="A3383" s="60">
        <v>540</v>
      </c>
      <c r="B3383" s="60" t="s">
        <v>118</v>
      </c>
      <c r="C3383" s="60">
        <v>130</v>
      </c>
      <c r="D3383" s="60">
        <v>3780</v>
      </c>
      <c r="E3383" s="60">
        <f t="shared" si="52"/>
        <v>-3780</v>
      </c>
    </row>
    <row r="3384" spans="1:5" x14ac:dyDescent="0.25">
      <c r="A3384" s="60">
        <v>540</v>
      </c>
      <c r="B3384" s="60" t="s">
        <v>118</v>
      </c>
      <c r="C3384" s="60">
        <v>140</v>
      </c>
      <c r="D3384" s="60">
        <v>19520</v>
      </c>
      <c r="E3384" s="60">
        <f t="shared" si="52"/>
        <v>-19520</v>
      </c>
    </row>
    <row r="3385" spans="1:5" x14ac:dyDescent="0.25">
      <c r="A3385" s="60">
        <v>540</v>
      </c>
      <c r="B3385" s="60" t="s">
        <v>118</v>
      </c>
      <c r="C3385" s="60">
        <v>141</v>
      </c>
      <c r="D3385" s="60">
        <v>104360</v>
      </c>
      <c r="E3385" s="60">
        <f t="shared" si="52"/>
        <v>-104360</v>
      </c>
    </row>
    <row r="3386" spans="1:5" x14ac:dyDescent="0.25">
      <c r="A3386" s="60">
        <v>540</v>
      </c>
      <c r="B3386" s="60" t="s">
        <v>118</v>
      </c>
      <c r="C3386" s="60">
        <v>200</v>
      </c>
      <c r="D3386" s="60">
        <v>41882</v>
      </c>
      <c r="E3386" s="60">
        <f t="shared" si="52"/>
        <v>-41882</v>
      </c>
    </row>
    <row r="3387" spans="1:5" x14ac:dyDescent="0.25">
      <c r="A3387" s="60">
        <v>540</v>
      </c>
      <c r="B3387" s="60" t="s">
        <v>118</v>
      </c>
      <c r="C3387" s="60">
        <v>210</v>
      </c>
      <c r="D3387" s="60">
        <v>0</v>
      </c>
      <c r="E3387" s="60">
        <f t="shared" si="52"/>
        <v>0</v>
      </c>
    </row>
    <row r="3388" spans="1:5" x14ac:dyDescent="0.25">
      <c r="A3388" s="60">
        <v>540</v>
      </c>
      <c r="B3388" s="60" t="s">
        <v>118</v>
      </c>
      <c r="C3388" s="60">
        <v>220</v>
      </c>
      <c r="D3388" s="60">
        <v>0</v>
      </c>
      <c r="E3388" s="60">
        <f t="shared" si="52"/>
        <v>0</v>
      </c>
    </row>
    <row r="3389" spans="1:5" x14ac:dyDescent="0.25">
      <c r="A3389" s="60">
        <v>540</v>
      </c>
      <c r="B3389" s="60" t="s">
        <v>118</v>
      </c>
      <c r="C3389" s="60">
        <v>230</v>
      </c>
      <c r="D3389" s="60">
        <v>185465</v>
      </c>
      <c r="E3389" s="60">
        <f t="shared" si="52"/>
        <v>-185465</v>
      </c>
    </row>
    <row r="3390" spans="1:5" x14ac:dyDescent="0.25">
      <c r="A3390" s="60">
        <v>540</v>
      </c>
      <c r="B3390" s="60" t="s">
        <v>118</v>
      </c>
      <c r="C3390" s="60">
        <v>298</v>
      </c>
      <c r="D3390" s="60">
        <v>0</v>
      </c>
      <c r="E3390" s="60">
        <f t="shared" si="52"/>
        <v>0</v>
      </c>
    </row>
    <row r="3391" spans="1:5" x14ac:dyDescent="0.25">
      <c r="A3391" s="60">
        <v>540</v>
      </c>
      <c r="B3391" s="60" t="s">
        <v>119</v>
      </c>
      <c r="C3391" s="60">
        <v>1</v>
      </c>
      <c r="D3391" s="60">
        <v>3473576</v>
      </c>
      <c r="E3391" s="60">
        <f t="shared" si="52"/>
        <v>3473576</v>
      </c>
    </row>
    <row r="3392" spans="1:5" x14ac:dyDescent="0.25">
      <c r="A3392" s="60">
        <v>540</v>
      </c>
      <c r="B3392" s="60" t="s">
        <v>119</v>
      </c>
      <c r="C3392" s="60">
        <v>10</v>
      </c>
      <c r="D3392" s="60">
        <v>14310220</v>
      </c>
      <c r="E3392" s="60">
        <f t="shared" si="52"/>
        <v>14310220</v>
      </c>
    </row>
    <row r="3393" spans="1:5" x14ac:dyDescent="0.25">
      <c r="A3393" s="60">
        <v>540</v>
      </c>
      <c r="B3393" s="60" t="s">
        <v>119</v>
      </c>
      <c r="C3393" s="60">
        <v>20</v>
      </c>
      <c r="D3393" s="60">
        <v>100784</v>
      </c>
      <c r="E3393" s="60">
        <f t="shared" si="52"/>
        <v>100784</v>
      </c>
    </row>
    <row r="3394" spans="1:5" x14ac:dyDescent="0.25">
      <c r="A3394" s="60">
        <v>540</v>
      </c>
      <c r="B3394" s="60" t="s">
        <v>119</v>
      </c>
      <c r="C3394" s="60">
        <v>50</v>
      </c>
      <c r="D3394" s="60">
        <v>0</v>
      </c>
      <c r="E3394" s="60">
        <f t="shared" ref="E3394:E3457" si="53">IF(C3394&lt;100,D3394,D3394*-1)</f>
        <v>0</v>
      </c>
    </row>
    <row r="3395" spans="1:5" x14ac:dyDescent="0.25">
      <c r="A3395" s="60">
        <v>540</v>
      </c>
      <c r="B3395" s="60" t="s">
        <v>119</v>
      </c>
      <c r="C3395" s="60">
        <v>70</v>
      </c>
      <c r="D3395" s="60">
        <v>0</v>
      </c>
      <c r="E3395" s="60">
        <f t="shared" si="53"/>
        <v>0</v>
      </c>
    </row>
    <row r="3396" spans="1:5" x14ac:dyDescent="0.25">
      <c r="A3396" s="60">
        <v>540</v>
      </c>
      <c r="B3396" s="60" t="s">
        <v>119</v>
      </c>
      <c r="C3396" s="60">
        <v>110</v>
      </c>
      <c r="D3396" s="60">
        <v>3554860</v>
      </c>
      <c r="E3396" s="60">
        <f t="shared" si="53"/>
        <v>-3554860</v>
      </c>
    </row>
    <row r="3397" spans="1:5" x14ac:dyDescent="0.25">
      <c r="A3397" s="60">
        <v>540</v>
      </c>
      <c r="B3397" s="60" t="s">
        <v>119</v>
      </c>
      <c r="C3397" s="60">
        <v>120</v>
      </c>
      <c r="D3397" s="60">
        <v>6600</v>
      </c>
      <c r="E3397" s="60">
        <f t="shared" si="53"/>
        <v>-6600</v>
      </c>
    </row>
    <row r="3398" spans="1:5" x14ac:dyDescent="0.25">
      <c r="A3398" s="60">
        <v>540</v>
      </c>
      <c r="B3398" s="60" t="s">
        <v>119</v>
      </c>
      <c r="C3398" s="60">
        <v>130</v>
      </c>
      <c r="D3398" s="60">
        <v>0</v>
      </c>
      <c r="E3398" s="60">
        <f t="shared" si="53"/>
        <v>0</v>
      </c>
    </row>
    <row r="3399" spans="1:5" x14ac:dyDescent="0.25">
      <c r="A3399" s="60">
        <v>540</v>
      </c>
      <c r="B3399" s="60" t="s">
        <v>119</v>
      </c>
      <c r="C3399" s="60">
        <v>140</v>
      </c>
      <c r="D3399" s="60">
        <v>6056520</v>
      </c>
      <c r="E3399" s="60">
        <f t="shared" si="53"/>
        <v>-6056520</v>
      </c>
    </row>
    <row r="3400" spans="1:5" x14ac:dyDescent="0.25">
      <c r="A3400" s="60">
        <v>540</v>
      </c>
      <c r="B3400" s="60" t="s">
        <v>119</v>
      </c>
      <c r="C3400" s="60">
        <v>200</v>
      </c>
      <c r="D3400" s="60">
        <v>70665</v>
      </c>
      <c r="E3400" s="60">
        <f t="shared" si="53"/>
        <v>-70665</v>
      </c>
    </row>
    <row r="3401" spans="1:5" x14ac:dyDescent="0.25">
      <c r="A3401" s="60">
        <v>540</v>
      </c>
      <c r="B3401" s="60" t="s">
        <v>119</v>
      </c>
      <c r="C3401" s="60">
        <v>210</v>
      </c>
      <c r="D3401" s="60">
        <v>10558</v>
      </c>
      <c r="E3401" s="60">
        <f t="shared" si="53"/>
        <v>-10558</v>
      </c>
    </row>
    <row r="3402" spans="1:5" x14ac:dyDescent="0.25">
      <c r="A3402" s="60">
        <v>540</v>
      </c>
      <c r="B3402" s="60" t="s">
        <v>119</v>
      </c>
      <c r="C3402" s="60">
        <v>220</v>
      </c>
      <c r="D3402" s="60">
        <v>0</v>
      </c>
      <c r="E3402" s="60">
        <f t="shared" si="53"/>
        <v>0</v>
      </c>
    </row>
    <row r="3403" spans="1:5" x14ac:dyDescent="0.25">
      <c r="A3403" s="60">
        <v>540</v>
      </c>
      <c r="B3403" s="60" t="s">
        <v>119</v>
      </c>
      <c r="C3403" s="60">
        <v>230</v>
      </c>
      <c r="D3403" s="60">
        <v>25625</v>
      </c>
      <c r="E3403" s="60">
        <f t="shared" si="53"/>
        <v>-25625</v>
      </c>
    </row>
    <row r="3404" spans="1:5" x14ac:dyDescent="0.25">
      <c r="A3404" s="60">
        <v>540</v>
      </c>
      <c r="B3404" s="60" t="s">
        <v>119</v>
      </c>
      <c r="C3404" s="60">
        <v>298</v>
      </c>
      <c r="D3404" s="60">
        <v>0</v>
      </c>
      <c r="E3404" s="60">
        <f t="shared" si="53"/>
        <v>0</v>
      </c>
    </row>
    <row r="3405" spans="1:5" x14ac:dyDescent="0.25">
      <c r="A3405" s="60">
        <v>540</v>
      </c>
      <c r="B3405" s="60" t="s">
        <v>120</v>
      </c>
      <c r="C3405" s="60">
        <v>1</v>
      </c>
      <c r="D3405" s="60">
        <v>5370228</v>
      </c>
      <c r="E3405" s="60">
        <f t="shared" si="53"/>
        <v>5370228</v>
      </c>
    </row>
    <row r="3406" spans="1:5" x14ac:dyDescent="0.25">
      <c r="A3406" s="60">
        <v>540</v>
      </c>
      <c r="B3406" s="60" t="s">
        <v>120</v>
      </c>
      <c r="C3406" s="60">
        <v>10</v>
      </c>
      <c r="D3406" s="60">
        <v>13385580</v>
      </c>
      <c r="E3406" s="60">
        <f t="shared" si="53"/>
        <v>13385580</v>
      </c>
    </row>
    <row r="3407" spans="1:5" x14ac:dyDescent="0.25">
      <c r="A3407" s="60">
        <v>540</v>
      </c>
      <c r="B3407" s="60" t="s">
        <v>120</v>
      </c>
      <c r="C3407" s="60">
        <v>50</v>
      </c>
      <c r="D3407" s="60">
        <v>0</v>
      </c>
      <c r="E3407" s="60">
        <f t="shared" si="53"/>
        <v>0</v>
      </c>
    </row>
    <row r="3408" spans="1:5" x14ac:dyDescent="0.25">
      <c r="A3408" s="60">
        <v>540</v>
      </c>
      <c r="B3408" s="60" t="s">
        <v>120</v>
      </c>
      <c r="C3408" s="60">
        <v>70</v>
      </c>
      <c r="D3408" s="60">
        <v>346052</v>
      </c>
      <c r="E3408" s="60">
        <f t="shared" si="53"/>
        <v>346052</v>
      </c>
    </row>
    <row r="3409" spans="1:5" x14ac:dyDescent="0.25">
      <c r="A3409" s="60">
        <v>540</v>
      </c>
      <c r="B3409" s="60" t="s">
        <v>120</v>
      </c>
      <c r="C3409" s="60">
        <v>110</v>
      </c>
      <c r="D3409" s="60">
        <v>6872540</v>
      </c>
      <c r="E3409" s="60">
        <f t="shared" si="53"/>
        <v>-6872540</v>
      </c>
    </row>
    <row r="3410" spans="1:5" x14ac:dyDescent="0.25">
      <c r="A3410" s="60">
        <v>540</v>
      </c>
      <c r="B3410" s="60" t="s">
        <v>120</v>
      </c>
      <c r="C3410" s="60">
        <v>120</v>
      </c>
      <c r="D3410" s="60">
        <v>0</v>
      </c>
      <c r="E3410" s="60">
        <f t="shared" si="53"/>
        <v>0</v>
      </c>
    </row>
    <row r="3411" spans="1:5" x14ac:dyDescent="0.25">
      <c r="A3411" s="60">
        <v>540</v>
      </c>
      <c r="B3411" s="60" t="s">
        <v>120</v>
      </c>
      <c r="C3411" s="60">
        <v>130</v>
      </c>
      <c r="D3411" s="60">
        <v>0</v>
      </c>
      <c r="E3411" s="60">
        <f t="shared" si="53"/>
        <v>0</v>
      </c>
    </row>
    <row r="3412" spans="1:5" x14ac:dyDescent="0.25">
      <c r="A3412" s="60">
        <v>540</v>
      </c>
      <c r="B3412" s="60" t="s">
        <v>120</v>
      </c>
      <c r="C3412" s="60">
        <v>140</v>
      </c>
      <c r="D3412" s="60">
        <v>6186360</v>
      </c>
      <c r="E3412" s="60">
        <f t="shared" si="53"/>
        <v>-6186360</v>
      </c>
    </row>
    <row r="3413" spans="1:5" x14ac:dyDescent="0.25">
      <c r="A3413" s="60">
        <v>540</v>
      </c>
      <c r="B3413" s="60" t="s">
        <v>120</v>
      </c>
      <c r="C3413" s="60">
        <v>160</v>
      </c>
      <c r="D3413" s="60">
        <v>0</v>
      </c>
      <c r="E3413" s="60">
        <f t="shared" si="53"/>
        <v>0</v>
      </c>
    </row>
    <row r="3414" spans="1:5" x14ac:dyDescent="0.25">
      <c r="A3414" s="60">
        <v>540</v>
      </c>
      <c r="B3414" s="60" t="s">
        <v>120</v>
      </c>
      <c r="C3414" s="60">
        <v>200</v>
      </c>
      <c r="D3414" s="60">
        <v>133856</v>
      </c>
      <c r="E3414" s="60">
        <f t="shared" si="53"/>
        <v>-133856</v>
      </c>
    </row>
    <row r="3415" spans="1:5" x14ac:dyDescent="0.25">
      <c r="A3415" s="60">
        <v>540</v>
      </c>
      <c r="B3415" s="60" t="s">
        <v>120</v>
      </c>
      <c r="C3415" s="60">
        <v>220</v>
      </c>
      <c r="D3415" s="60">
        <v>0</v>
      </c>
      <c r="E3415" s="60">
        <f t="shared" si="53"/>
        <v>0</v>
      </c>
    </row>
    <row r="3416" spans="1:5" x14ac:dyDescent="0.25">
      <c r="A3416" s="60">
        <v>540</v>
      </c>
      <c r="B3416" s="60" t="s">
        <v>120</v>
      </c>
      <c r="C3416" s="60">
        <v>230</v>
      </c>
      <c r="D3416" s="60">
        <v>117678</v>
      </c>
      <c r="E3416" s="60">
        <f t="shared" si="53"/>
        <v>-117678</v>
      </c>
    </row>
    <row r="3417" spans="1:5" x14ac:dyDescent="0.25">
      <c r="A3417" s="60">
        <v>540</v>
      </c>
      <c r="B3417" s="60" t="s">
        <v>120</v>
      </c>
      <c r="C3417" s="60">
        <v>298</v>
      </c>
      <c r="D3417" s="60">
        <v>0</v>
      </c>
      <c r="E3417" s="60">
        <f t="shared" si="53"/>
        <v>0</v>
      </c>
    </row>
    <row r="3418" spans="1:5" x14ac:dyDescent="0.25">
      <c r="A3418" s="60">
        <v>541</v>
      </c>
      <c r="B3418" s="60" t="s">
        <v>117</v>
      </c>
      <c r="C3418" s="60">
        <v>1</v>
      </c>
      <c r="D3418" s="60">
        <v>21061235</v>
      </c>
      <c r="E3418" s="60">
        <f t="shared" si="53"/>
        <v>21061235</v>
      </c>
    </row>
    <row r="3419" spans="1:5" x14ac:dyDescent="0.25">
      <c r="A3419" s="60">
        <v>541</v>
      </c>
      <c r="B3419" s="60" t="s">
        <v>117</v>
      </c>
      <c r="C3419" s="60">
        <v>10</v>
      </c>
      <c r="D3419" s="60">
        <v>18890020</v>
      </c>
      <c r="E3419" s="60">
        <f t="shared" si="53"/>
        <v>18890020</v>
      </c>
    </row>
    <row r="3420" spans="1:5" x14ac:dyDescent="0.25">
      <c r="A3420" s="60">
        <v>541</v>
      </c>
      <c r="B3420" s="60" t="s">
        <v>117</v>
      </c>
      <c r="C3420" s="60">
        <v>110</v>
      </c>
      <c r="D3420" s="60">
        <v>0</v>
      </c>
      <c r="E3420" s="60">
        <f t="shared" si="53"/>
        <v>0</v>
      </c>
    </row>
    <row r="3421" spans="1:5" x14ac:dyDescent="0.25">
      <c r="A3421" s="60">
        <v>541</v>
      </c>
      <c r="B3421" s="60" t="s">
        <v>117</v>
      </c>
      <c r="C3421" s="60">
        <v>140</v>
      </c>
      <c r="D3421" s="60">
        <v>0</v>
      </c>
      <c r="E3421" s="60">
        <f t="shared" si="53"/>
        <v>0</v>
      </c>
    </row>
    <row r="3422" spans="1:5" x14ac:dyDescent="0.25">
      <c r="A3422" s="60">
        <v>541</v>
      </c>
      <c r="B3422" s="60" t="s">
        <v>117</v>
      </c>
      <c r="C3422" s="60">
        <v>141</v>
      </c>
      <c r="D3422" s="60">
        <v>15912400</v>
      </c>
      <c r="E3422" s="60">
        <f t="shared" si="53"/>
        <v>-15912400</v>
      </c>
    </row>
    <row r="3423" spans="1:5" x14ac:dyDescent="0.25">
      <c r="A3423" s="60">
        <v>541</v>
      </c>
      <c r="B3423" s="60" t="s">
        <v>117</v>
      </c>
      <c r="C3423" s="60">
        <v>200</v>
      </c>
      <c r="D3423" s="60">
        <v>93679</v>
      </c>
      <c r="E3423" s="60">
        <f t="shared" si="53"/>
        <v>-93679</v>
      </c>
    </row>
    <row r="3424" spans="1:5" x14ac:dyDescent="0.25">
      <c r="A3424" s="60">
        <v>541</v>
      </c>
      <c r="B3424" s="60" t="s">
        <v>117</v>
      </c>
      <c r="C3424" s="60">
        <v>210</v>
      </c>
      <c r="D3424" s="60">
        <v>153520</v>
      </c>
      <c r="E3424" s="60">
        <f t="shared" si="53"/>
        <v>-153520</v>
      </c>
    </row>
    <row r="3425" spans="1:5" x14ac:dyDescent="0.25">
      <c r="A3425" s="60">
        <v>541</v>
      </c>
      <c r="B3425" s="60" t="s">
        <v>117</v>
      </c>
      <c r="C3425" s="60">
        <v>220</v>
      </c>
      <c r="D3425" s="60">
        <v>0</v>
      </c>
      <c r="E3425" s="60">
        <f t="shared" si="53"/>
        <v>0</v>
      </c>
    </row>
    <row r="3426" spans="1:5" x14ac:dyDescent="0.25">
      <c r="A3426" s="60">
        <v>541</v>
      </c>
      <c r="B3426" s="60" t="s">
        <v>117</v>
      </c>
      <c r="C3426" s="60">
        <v>230</v>
      </c>
      <c r="D3426" s="60">
        <v>0</v>
      </c>
      <c r="E3426" s="60">
        <f t="shared" si="53"/>
        <v>0</v>
      </c>
    </row>
    <row r="3427" spans="1:5" x14ac:dyDescent="0.25">
      <c r="A3427" s="60">
        <v>541</v>
      </c>
      <c r="B3427" s="60" t="s">
        <v>117</v>
      </c>
      <c r="C3427" s="60">
        <v>270</v>
      </c>
      <c r="D3427" s="60">
        <v>0</v>
      </c>
      <c r="E3427" s="60">
        <f t="shared" si="53"/>
        <v>0</v>
      </c>
    </row>
    <row r="3428" spans="1:5" x14ac:dyDescent="0.25">
      <c r="A3428" s="60">
        <v>541</v>
      </c>
      <c r="B3428" s="60" t="s">
        <v>118</v>
      </c>
      <c r="C3428" s="60">
        <v>1</v>
      </c>
      <c r="D3428" s="60">
        <v>4597175</v>
      </c>
      <c r="E3428" s="60">
        <f t="shared" si="53"/>
        <v>4597175</v>
      </c>
    </row>
    <row r="3429" spans="1:5" x14ac:dyDescent="0.25">
      <c r="A3429" s="60">
        <v>541</v>
      </c>
      <c r="B3429" s="60" t="s">
        <v>118</v>
      </c>
      <c r="C3429" s="60">
        <v>10</v>
      </c>
      <c r="D3429" s="60">
        <v>4636840</v>
      </c>
      <c r="E3429" s="60">
        <f t="shared" si="53"/>
        <v>4636840</v>
      </c>
    </row>
    <row r="3430" spans="1:5" x14ac:dyDescent="0.25">
      <c r="A3430" s="60">
        <v>541</v>
      </c>
      <c r="B3430" s="60" t="s">
        <v>118</v>
      </c>
      <c r="C3430" s="60">
        <v>20</v>
      </c>
      <c r="D3430" s="60">
        <v>0</v>
      </c>
      <c r="E3430" s="60">
        <f t="shared" si="53"/>
        <v>0</v>
      </c>
    </row>
    <row r="3431" spans="1:5" x14ac:dyDescent="0.25">
      <c r="A3431" s="60">
        <v>541</v>
      </c>
      <c r="B3431" s="60" t="s">
        <v>118</v>
      </c>
      <c r="C3431" s="60">
        <v>50</v>
      </c>
      <c r="D3431" s="60">
        <v>0</v>
      </c>
      <c r="E3431" s="60">
        <f t="shared" si="53"/>
        <v>0</v>
      </c>
    </row>
    <row r="3432" spans="1:5" x14ac:dyDescent="0.25">
      <c r="A3432" s="60">
        <v>541</v>
      </c>
      <c r="B3432" s="60" t="s">
        <v>118</v>
      </c>
      <c r="C3432" s="60">
        <v>70</v>
      </c>
      <c r="D3432" s="60">
        <v>-92675</v>
      </c>
      <c r="E3432" s="60">
        <f t="shared" si="53"/>
        <v>-92675</v>
      </c>
    </row>
    <row r="3433" spans="1:5" x14ac:dyDescent="0.25">
      <c r="A3433" s="60">
        <v>541</v>
      </c>
      <c r="B3433" s="60" t="s">
        <v>118</v>
      </c>
      <c r="C3433" s="60">
        <v>110</v>
      </c>
      <c r="D3433" s="60">
        <v>6446360</v>
      </c>
      <c r="E3433" s="60">
        <f t="shared" si="53"/>
        <v>-6446360</v>
      </c>
    </row>
    <row r="3434" spans="1:5" x14ac:dyDescent="0.25">
      <c r="A3434" s="60">
        <v>541</v>
      </c>
      <c r="B3434" s="60" t="s">
        <v>118</v>
      </c>
      <c r="C3434" s="60">
        <v>120</v>
      </c>
      <c r="D3434" s="60">
        <v>6260</v>
      </c>
      <c r="E3434" s="60">
        <f t="shared" si="53"/>
        <v>-6260</v>
      </c>
    </row>
    <row r="3435" spans="1:5" x14ac:dyDescent="0.25">
      <c r="A3435" s="60">
        <v>541</v>
      </c>
      <c r="B3435" s="60" t="s">
        <v>118</v>
      </c>
      <c r="C3435" s="60">
        <v>130</v>
      </c>
      <c r="D3435" s="60">
        <v>0</v>
      </c>
      <c r="E3435" s="60">
        <f t="shared" si="53"/>
        <v>0</v>
      </c>
    </row>
    <row r="3436" spans="1:5" x14ac:dyDescent="0.25">
      <c r="A3436" s="60">
        <v>541</v>
      </c>
      <c r="B3436" s="60" t="s">
        <v>118</v>
      </c>
      <c r="C3436" s="60">
        <v>140</v>
      </c>
      <c r="D3436" s="60">
        <v>17600</v>
      </c>
      <c r="E3436" s="60">
        <f t="shared" si="53"/>
        <v>-17600</v>
      </c>
    </row>
    <row r="3437" spans="1:5" x14ac:dyDescent="0.25">
      <c r="A3437" s="60">
        <v>541</v>
      </c>
      <c r="B3437" s="60" t="s">
        <v>118</v>
      </c>
      <c r="C3437" s="60">
        <v>200</v>
      </c>
      <c r="D3437" s="60">
        <v>23184</v>
      </c>
      <c r="E3437" s="60">
        <f t="shared" si="53"/>
        <v>-23184</v>
      </c>
    </row>
    <row r="3438" spans="1:5" x14ac:dyDescent="0.25">
      <c r="A3438" s="60">
        <v>541</v>
      </c>
      <c r="B3438" s="60" t="s">
        <v>118</v>
      </c>
      <c r="C3438" s="60">
        <v>230</v>
      </c>
      <c r="D3438" s="60">
        <v>57221</v>
      </c>
      <c r="E3438" s="60">
        <f t="shared" si="53"/>
        <v>-57221</v>
      </c>
    </row>
    <row r="3439" spans="1:5" x14ac:dyDescent="0.25">
      <c r="A3439" s="60">
        <v>541</v>
      </c>
      <c r="B3439" s="60" t="s">
        <v>118</v>
      </c>
      <c r="C3439" s="60">
        <v>270</v>
      </c>
      <c r="D3439" s="60">
        <v>0</v>
      </c>
      <c r="E3439" s="60">
        <f t="shared" si="53"/>
        <v>0</v>
      </c>
    </row>
    <row r="3440" spans="1:5" x14ac:dyDescent="0.25">
      <c r="A3440" s="60">
        <v>541</v>
      </c>
      <c r="B3440" s="60" t="s">
        <v>119</v>
      </c>
      <c r="C3440" s="60">
        <v>1</v>
      </c>
      <c r="D3440" s="60">
        <v>8185622</v>
      </c>
      <c r="E3440" s="60">
        <f t="shared" si="53"/>
        <v>8185622</v>
      </c>
    </row>
    <row r="3441" spans="1:5" x14ac:dyDescent="0.25">
      <c r="A3441" s="60">
        <v>541</v>
      </c>
      <c r="B3441" s="60" t="s">
        <v>119</v>
      </c>
      <c r="C3441" s="60">
        <v>10</v>
      </c>
      <c r="D3441" s="60">
        <v>4525060</v>
      </c>
      <c r="E3441" s="60">
        <f t="shared" si="53"/>
        <v>4525060</v>
      </c>
    </row>
    <row r="3442" spans="1:5" x14ac:dyDescent="0.25">
      <c r="A3442" s="60">
        <v>541</v>
      </c>
      <c r="B3442" s="60" t="s">
        <v>119</v>
      </c>
      <c r="C3442" s="60">
        <v>50</v>
      </c>
      <c r="D3442" s="60">
        <v>697780</v>
      </c>
      <c r="E3442" s="60">
        <f t="shared" si="53"/>
        <v>697780</v>
      </c>
    </row>
    <row r="3443" spans="1:5" x14ac:dyDescent="0.25">
      <c r="A3443" s="60">
        <v>541</v>
      </c>
      <c r="B3443" s="60" t="s">
        <v>119</v>
      </c>
      <c r="C3443" s="60">
        <v>70</v>
      </c>
      <c r="D3443" s="60">
        <v>0</v>
      </c>
      <c r="E3443" s="60">
        <f t="shared" si="53"/>
        <v>0</v>
      </c>
    </row>
    <row r="3444" spans="1:5" x14ac:dyDescent="0.25">
      <c r="A3444" s="60">
        <v>541</v>
      </c>
      <c r="B3444" s="60" t="s">
        <v>119</v>
      </c>
      <c r="C3444" s="60">
        <v>110</v>
      </c>
      <c r="D3444" s="60">
        <v>9307460</v>
      </c>
      <c r="E3444" s="60">
        <f t="shared" si="53"/>
        <v>-9307460</v>
      </c>
    </row>
    <row r="3445" spans="1:5" x14ac:dyDescent="0.25">
      <c r="A3445" s="60">
        <v>541</v>
      </c>
      <c r="B3445" s="60" t="s">
        <v>119</v>
      </c>
      <c r="C3445" s="60">
        <v>120</v>
      </c>
      <c r="D3445" s="60">
        <v>12020</v>
      </c>
      <c r="E3445" s="60">
        <f t="shared" si="53"/>
        <v>-12020</v>
      </c>
    </row>
    <row r="3446" spans="1:5" x14ac:dyDescent="0.25">
      <c r="A3446" s="60">
        <v>541</v>
      </c>
      <c r="B3446" s="60" t="s">
        <v>119</v>
      </c>
      <c r="C3446" s="60">
        <v>140</v>
      </c>
      <c r="D3446" s="60">
        <v>39160</v>
      </c>
      <c r="E3446" s="60">
        <f t="shared" si="53"/>
        <v>-39160</v>
      </c>
    </row>
    <row r="3447" spans="1:5" x14ac:dyDescent="0.25">
      <c r="A3447" s="60">
        <v>541</v>
      </c>
      <c r="B3447" s="60" t="s">
        <v>119</v>
      </c>
      <c r="C3447" s="60">
        <v>141</v>
      </c>
      <c r="D3447" s="60">
        <v>380400</v>
      </c>
      <c r="E3447" s="60">
        <f t="shared" si="53"/>
        <v>-380400</v>
      </c>
    </row>
    <row r="3448" spans="1:5" x14ac:dyDescent="0.25">
      <c r="A3448" s="60">
        <v>541</v>
      </c>
      <c r="B3448" s="60" t="s">
        <v>119</v>
      </c>
      <c r="C3448" s="60">
        <v>200</v>
      </c>
      <c r="D3448" s="60">
        <v>22625</v>
      </c>
      <c r="E3448" s="60">
        <f t="shared" si="53"/>
        <v>-22625</v>
      </c>
    </row>
    <row r="3449" spans="1:5" x14ac:dyDescent="0.25">
      <c r="A3449" s="60">
        <v>541</v>
      </c>
      <c r="B3449" s="60" t="s">
        <v>119</v>
      </c>
      <c r="C3449" s="60">
        <v>210</v>
      </c>
      <c r="D3449" s="60">
        <v>36414</v>
      </c>
      <c r="E3449" s="60">
        <f t="shared" si="53"/>
        <v>-36414</v>
      </c>
    </row>
    <row r="3450" spans="1:5" x14ac:dyDescent="0.25">
      <c r="A3450" s="60">
        <v>541</v>
      </c>
      <c r="B3450" s="60" t="s">
        <v>119</v>
      </c>
      <c r="C3450" s="60">
        <v>230</v>
      </c>
      <c r="D3450" s="60">
        <v>10946</v>
      </c>
      <c r="E3450" s="60">
        <f t="shared" si="53"/>
        <v>-10946</v>
      </c>
    </row>
    <row r="3451" spans="1:5" x14ac:dyDescent="0.25">
      <c r="A3451" s="60">
        <v>541</v>
      </c>
      <c r="B3451" s="60" t="s">
        <v>119</v>
      </c>
      <c r="C3451" s="60">
        <v>270</v>
      </c>
      <c r="D3451" s="60">
        <v>0</v>
      </c>
      <c r="E3451" s="60">
        <f t="shared" si="53"/>
        <v>0</v>
      </c>
    </row>
    <row r="3452" spans="1:5" x14ac:dyDescent="0.25">
      <c r="A3452" s="60">
        <v>541</v>
      </c>
      <c r="B3452" s="60" t="s">
        <v>120</v>
      </c>
      <c r="C3452" s="60">
        <v>1</v>
      </c>
      <c r="D3452" s="60">
        <v>13729113</v>
      </c>
      <c r="E3452" s="60">
        <f t="shared" si="53"/>
        <v>13729113</v>
      </c>
    </row>
    <row r="3453" spans="1:5" x14ac:dyDescent="0.25">
      <c r="A3453" s="60">
        <v>541</v>
      </c>
      <c r="B3453" s="60" t="s">
        <v>120</v>
      </c>
      <c r="C3453" s="60">
        <v>10</v>
      </c>
      <c r="D3453" s="60">
        <v>29759840</v>
      </c>
      <c r="E3453" s="60">
        <f t="shared" si="53"/>
        <v>29759840</v>
      </c>
    </row>
    <row r="3454" spans="1:5" x14ac:dyDescent="0.25">
      <c r="A3454" s="60">
        <v>541</v>
      </c>
      <c r="B3454" s="60" t="s">
        <v>120</v>
      </c>
      <c r="C3454" s="60">
        <v>50</v>
      </c>
      <c r="D3454" s="60">
        <v>1220920</v>
      </c>
      <c r="E3454" s="60">
        <f t="shared" si="53"/>
        <v>1220920</v>
      </c>
    </row>
    <row r="3455" spans="1:5" x14ac:dyDescent="0.25">
      <c r="A3455" s="60">
        <v>541</v>
      </c>
      <c r="B3455" s="60" t="s">
        <v>120</v>
      </c>
      <c r="C3455" s="60">
        <v>110</v>
      </c>
      <c r="D3455" s="60">
        <v>17280820</v>
      </c>
      <c r="E3455" s="60">
        <f t="shared" si="53"/>
        <v>-17280820</v>
      </c>
    </row>
    <row r="3456" spans="1:5" x14ac:dyDescent="0.25">
      <c r="A3456" s="60">
        <v>541</v>
      </c>
      <c r="B3456" s="60" t="s">
        <v>120</v>
      </c>
      <c r="C3456" s="60">
        <v>120</v>
      </c>
      <c r="D3456" s="60">
        <v>163160</v>
      </c>
      <c r="E3456" s="60">
        <f t="shared" si="53"/>
        <v>-163160</v>
      </c>
    </row>
    <row r="3457" spans="1:5" x14ac:dyDescent="0.25">
      <c r="A3457" s="60">
        <v>541</v>
      </c>
      <c r="B3457" s="60" t="s">
        <v>120</v>
      </c>
      <c r="C3457" s="60">
        <v>130</v>
      </c>
      <c r="D3457" s="60">
        <v>0</v>
      </c>
      <c r="E3457" s="60">
        <f t="shared" si="53"/>
        <v>0</v>
      </c>
    </row>
    <row r="3458" spans="1:5" x14ac:dyDescent="0.25">
      <c r="A3458" s="60">
        <v>541</v>
      </c>
      <c r="B3458" s="60" t="s">
        <v>120</v>
      </c>
      <c r="C3458" s="60">
        <v>140</v>
      </c>
      <c r="D3458" s="60">
        <v>15115340</v>
      </c>
      <c r="E3458" s="60">
        <f t="shared" ref="E3458:E3521" si="54">IF(C3458&lt;100,D3458,D3458*-1)</f>
        <v>-15115340</v>
      </c>
    </row>
    <row r="3459" spans="1:5" x14ac:dyDescent="0.25">
      <c r="A3459" s="60">
        <v>541</v>
      </c>
      <c r="B3459" s="60" t="s">
        <v>120</v>
      </c>
      <c r="C3459" s="60">
        <v>141</v>
      </c>
      <c r="D3459" s="60">
        <v>384460</v>
      </c>
      <c r="E3459" s="60">
        <f t="shared" si="54"/>
        <v>-384460</v>
      </c>
    </row>
    <row r="3460" spans="1:5" x14ac:dyDescent="0.25">
      <c r="A3460" s="60">
        <v>541</v>
      </c>
      <c r="B3460" s="60" t="s">
        <v>120</v>
      </c>
      <c r="C3460" s="60">
        <v>200</v>
      </c>
      <c r="D3460" s="60">
        <v>297598</v>
      </c>
      <c r="E3460" s="60">
        <f t="shared" si="54"/>
        <v>-297598</v>
      </c>
    </row>
    <row r="3461" spans="1:5" x14ac:dyDescent="0.25">
      <c r="A3461" s="60">
        <v>541</v>
      </c>
      <c r="B3461" s="60" t="s">
        <v>120</v>
      </c>
      <c r="C3461" s="60">
        <v>210</v>
      </c>
      <c r="D3461" s="60">
        <v>21807</v>
      </c>
      <c r="E3461" s="60">
        <f t="shared" si="54"/>
        <v>-21807</v>
      </c>
    </row>
    <row r="3462" spans="1:5" x14ac:dyDescent="0.25">
      <c r="A3462" s="60">
        <v>541</v>
      </c>
      <c r="B3462" s="60" t="s">
        <v>120</v>
      </c>
      <c r="C3462" s="60">
        <v>220</v>
      </c>
      <c r="D3462" s="60">
        <v>0</v>
      </c>
      <c r="E3462" s="60">
        <f t="shared" si="54"/>
        <v>0</v>
      </c>
    </row>
    <row r="3463" spans="1:5" x14ac:dyDescent="0.25">
      <c r="A3463" s="60">
        <v>541</v>
      </c>
      <c r="B3463" s="60" t="s">
        <v>120</v>
      </c>
      <c r="C3463" s="60">
        <v>230</v>
      </c>
      <c r="D3463" s="60">
        <v>50804</v>
      </c>
      <c r="E3463" s="60">
        <f t="shared" si="54"/>
        <v>-50804</v>
      </c>
    </row>
    <row r="3464" spans="1:5" x14ac:dyDescent="0.25">
      <c r="A3464" s="60">
        <v>541</v>
      </c>
      <c r="B3464" s="60" t="s">
        <v>120</v>
      </c>
      <c r="C3464" s="60">
        <v>270</v>
      </c>
      <c r="D3464" s="60">
        <v>0</v>
      </c>
      <c r="E3464" s="60">
        <f t="shared" si="54"/>
        <v>0</v>
      </c>
    </row>
    <row r="3465" spans="1:5" x14ac:dyDescent="0.25">
      <c r="A3465" s="60">
        <v>542</v>
      </c>
      <c r="B3465" s="60" t="s">
        <v>117</v>
      </c>
      <c r="C3465" s="60">
        <v>1</v>
      </c>
      <c r="D3465" s="60">
        <v>34170914</v>
      </c>
      <c r="E3465" s="60">
        <f t="shared" si="54"/>
        <v>34170914</v>
      </c>
    </row>
    <row r="3466" spans="1:5" x14ac:dyDescent="0.25">
      <c r="A3466" s="60">
        <v>542</v>
      </c>
      <c r="B3466" s="60" t="s">
        <v>117</v>
      </c>
      <c r="C3466" s="60">
        <v>10</v>
      </c>
      <c r="D3466" s="60">
        <v>15552400</v>
      </c>
      <c r="E3466" s="60">
        <f t="shared" si="54"/>
        <v>15552400</v>
      </c>
    </row>
    <row r="3467" spans="1:5" x14ac:dyDescent="0.25">
      <c r="A3467" s="60">
        <v>542</v>
      </c>
      <c r="B3467" s="60" t="s">
        <v>117</v>
      </c>
      <c r="C3467" s="60">
        <v>50</v>
      </c>
      <c r="D3467" s="60">
        <v>3019740</v>
      </c>
      <c r="E3467" s="60">
        <f t="shared" si="54"/>
        <v>3019740</v>
      </c>
    </row>
    <row r="3468" spans="1:5" x14ac:dyDescent="0.25">
      <c r="A3468" s="60">
        <v>542</v>
      </c>
      <c r="B3468" s="60" t="s">
        <v>117</v>
      </c>
      <c r="C3468" s="60">
        <v>110</v>
      </c>
      <c r="D3468" s="60">
        <v>8906940</v>
      </c>
      <c r="E3468" s="60">
        <f t="shared" si="54"/>
        <v>-8906940</v>
      </c>
    </row>
    <row r="3469" spans="1:5" x14ac:dyDescent="0.25">
      <c r="A3469" s="60">
        <v>542</v>
      </c>
      <c r="B3469" s="60" t="s">
        <v>117</v>
      </c>
      <c r="C3469" s="60">
        <v>140</v>
      </c>
      <c r="D3469" s="60">
        <v>0</v>
      </c>
      <c r="E3469" s="60">
        <f t="shared" si="54"/>
        <v>0</v>
      </c>
    </row>
    <row r="3470" spans="1:5" x14ac:dyDescent="0.25">
      <c r="A3470" s="60">
        <v>542</v>
      </c>
      <c r="B3470" s="60" t="s">
        <v>117</v>
      </c>
      <c r="C3470" s="60">
        <v>141</v>
      </c>
      <c r="D3470" s="60">
        <v>9540040</v>
      </c>
      <c r="E3470" s="60">
        <f t="shared" si="54"/>
        <v>-9540040</v>
      </c>
    </row>
    <row r="3471" spans="1:5" x14ac:dyDescent="0.25">
      <c r="A3471" s="60">
        <v>542</v>
      </c>
      <c r="B3471" s="60" t="s">
        <v>117</v>
      </c>
      <c r="C3471" s="60">
        <v>200</v>
      </c>
      <c r="D3471" s="60">
        <v>75670</v>
      </c>
      <c r="E3471" s="60">
        <f t="shared" si="54"/>
        <v>-75670</v>
      </c>
    </row>
    <row r="3472" spans="1:5" x14ac:dyDescent="0.25">
      <c r="A3472" s="60">
        <v>542</v>
      </c>
      <c r="B3472" s="60" t="s">
        <v>117</v>
      </c>
      <c r="C3472" s="60">
        <v>210</v>
      </c>
      <c r="D3472" s="60">
        <v>194048</v>
      </c>
      <c r="E3472" s="60">
        <f t="shared" si="54"/>
        <v>-194048</v>
      </c>
    </row>
    <row r="3473" spans="1:5" x14ac:dyDescent="0.25">
      <c r="A3473" s="60">
        <v>542</v>
      </c>
      <c r="B3473" s="60" t="s">
        <v>117</v>
      </c>
      <c r="C3473" s="60">
        <v>230</v>
      </c>
      <c r="D3473" s="60">
        <v>0</v>
      </c>
      <c r="E3473" s="60">
        <f t="shared" si="54"/>
        <v>0</v>
      </c>
    </row>
    <row r="3474" spans="1:5" x14ac:dyDescent="0.25">
      <c r="A3474" s="60">
        <v>542</v>
      </c>
      <c r="B3474" s="60" t="s">
        <v>117</v>
      </c>
      <c r="C3474" s="60">
        <v>270</v>
      </c>
      <c r="D3474" s="60">
        <v>0</v>
      </c>
      <c r="E3474" s="60">
        <f t="shared" si="54"/>
        <v>0</v>
      </c>
    </row>
    <row r="3475" spans="1:5" x14ac:dyDescent="0.25">
      <c r="A3475" s="60">
        <v>542</v>
      </c>
      <c r="B3475" s="60" t="s">
        <v>118</v>
      </c>
      <c r="C3475" s="60">
        <v>1</v>
      </c>
      <c r="D3475" s="60">
        <v>7892242</v>
      </c>
      <c r="E3475" s="60">
        <f t="shared" si="54"/>
        <v>7892242</v>
      </c>
    </row>
    <row r="3476" spans="1:5" x14ac:dyDescent="0.25">
      <c r="A3476" s="60">
        <v>542</v>
      </c>
      <c r="B3476" s="60" t="s">
        <v>118</v>
      </c>
      <c r="C3476" s="60">
        <v>10</v>
      </c>
      <c r="D3476" s="60">
        <v>9643740</v>
      </c>
      <c r="E3476" s="60">
        <f t="shared" si="54"/>
        <v>9643740</v>
      </c>
    </row>
    <row r="3477" spans="1:5" x14ac:dyDescent="0.25">
      <c r="A3477" s="60">
        <v>542</v>
      </c>
      <c r="B3477" s="60" t="s">
        <v>118</v>
      </c>
      <c r="C3477" s="60">
        <v>50</v>
      </c>
      <c r="D3477" s="60">
        <v>0</v>
      </c>
      <c r="E3477" s="60">
        <f t="shared" si="54"/>
        <v>0</v>
      </c>
    </row>
    <row r="3478" spans="1:5" x14ac:dyDescent="0.25">
      <c r="A3478" s="60">
        <v>542</v>
      </c>
      <c r="B3478" s="60" t="s">
        <v>118</v>
      </c>
      <c r="C3478" s="60">
        <v>70</v>
      </c>
      <c r="D3478" s="60">
        <v>0</v>
      </c>
      <c r="E3478" s="60">
        <f t="shared" si="54"/>
        <v>0</v>
      </c>
    </row>
    <row r="3479" spans="1:5" x14ac:dyDescent="0.25">
      <c r="A3479" s="60">
        <v>542</v>
      </c>
      <c r="B3479" s="60" t="s">
        <v>118</v>
      </c>
      <c r="C3479" s="60">
        <v>110</v>
      </c>
      <c r="D3479" s="60">
        <v>8080940</v>
      </c>
      <c r="E3479" s="60">
        <f t="shared" si="54"/>
        <v>-8080940</v>
      </c>
    </row>
    <row r="3480" spans="1:5" x14ac:dyDescent="0.25">
      <c r="A3480" s="60">
        <v>542</v>
      </c>
      <c r="B3480" s="60" t="s">
        <v>118</v>
      </c>
      <c r="C3480" s="60">
        <v>130</v>
      </c>
      <c r="D3480" s="60">
        <v>0</v>
      </c>
      <c r="E3480" s="60">
        <f t="shared" si="54"/>
        <v>0</v>
      </c>
    </row>
    <row r="3481" spans="1:5" x14ac:dyDescent="0.25">
      <c r="A3481" s="60">
        <v>542</v>
      </c>
      <c r="B3481" s="60" t="s">
        <v>118</v>
      </c>
      <c r="C3481" s="60">
        <v>140</v>
      </c>
      <c r="D3481" s="60">
        <v>0</v>
      </c>
      <c r="E3481" s="60">
        <f t="shared" si="54"/>
        <v>0</v>
      </c>
    </row>
    <row r="3482" spans="1:5" x14ac:dyDescent="0.25">
      <c r="A3482" s="60">
        <v>542</v>
      </c>
      <c r="B3482" s="60" t="s">
        <v>118</v>
      </c>
      <c r="C3482" s="60">
        <v>200</v>
      </c>
      <c r="D3482" s="60">
        <v>47115</v>
      </c>
      <c r="E3482" s="60">
        <f t="shared" si="54"/>
        <v>-47115</v>
      </c>
    </row>
    <row r="3483" spans="1:5" x14ac:dyDescent="0.25">
      <c r="A3483" s="60">
        <v>542</v>
      </c>
      <c r="B3483" s="60" t="s">
        <v>118</v>
      </c>
      <c r="C3483" s="60">
        <v>230</v>
      </c>
      <c r="D3483" s="60">
        <v>76399</v>
      </c>
      <c r="E3483" s="60">
        <f t="shared" si="54"/>
        <v>-76399</v>
      </c>
    </row>
    <row r="3484" spans="1:5" x14ac:dyDescent="0.25">
      <c r="A3484" s="60">
        <v>542</v>
      </c>
      <c r="B3484" s="60" t="s">
        <v>118</v>
      </c>
      <c r="C3484" s="60">
        <v>270</v>
      </c>
      <c r="D3484" s="60">
        <v>0</v>
      </c>
      <c r="E3484" s="60">
        <f t="shared" si="54"/>
        <v>0</v>
      </c>
    </row>
    <row r="3485" spans="1:5" x14ac:dyDescent="0.25">
      <c r="A3485" s="60">
        <v>542</v>
      </c>
      <c r="B3485" s="60" t="s">
        <v>119</v>
      </c>
      <c r="C3485" s="60">
        <v>1</v>
      </c>
      <c r="D3485" s="60">
        <v>459053</v>
      </c>
      <c r="E3485" s="60">
        <f t="shared" si="54"/>
        <v>459053</v>
      </c>
    </row>
    <row r="3486" spans="1:5" x14ac:dyDescent="0.25">
      <c r="A3486" s="60">
        <v>542</v>
      </c>
      <c r="B3486" s="60" t="s">
        <v>119</v>
      </c>
      <c r="C3486" s="60">
        <v>10</v>
      </c>
      <c r="D3486" s="60">
        <v>3211900</v>
      </c>
      <c r="E3486" s="60">
        <f t="shared" si="54"/>
        <v>3211900</v>
      </c>
    </row>
    <row r="3487" spans="1:5" x14ac:dyDescent="0.25">
      <c r="A3487" s="60">
        <v>542</v>
      </c>
      <c r="B3487" s="60" t="s">
        <v>119</v>
      </c>
      <c r="C3487" s="60">
        <v>20</v>
      </c>
      <c r="D3487" s="60">
        <v>0</v>
      </c>
      <c r="E3487" s="60">
        <f t="shared" si="54"/>
        <v>0</v>
      </c>
    </row>
    <row r="3488" spans="1:5" x14ac:dyDescent="0.25">
      <c r="A3488" s="60">
        <v>542</v>
      </c>
      <c r="B3488" s="60" t="s">
        <v>119</v>
      </c>
      <c r="C3488" s="60">
        <v>50</v>
      </c>
      <c r="D3488" s="60">
        <v>0</v>
      </c>
      <c r="E3488" s="60">
        <f t="shared" si="54"/>
        <v>0</v>
      </c>
    </row>
    <row r="3489" spans="1:5" x14ac:dyDescent="0.25">
      <c r="A3489" s="60">
        <v>542</v>
      </c>
      <c r="B3489" s="60" t="s">
        <v>119</v>
      </c>
      <c r="C3489" s="60">
        <v>110</v>
      </c>
      <c r="D3489" s="60">
        <v>0</v>
      </c>
      <c r="E3489" s="60">
        <f t="shared" si="54"/>
        <v>0</v>
      </c>
    </row>
    <row r="3490" spans="1:5" x14ac:dyDescent="0.25">
      <c r="A3490" s="60">
        <v>542</v>
      </c>
      <c r="B3490" s="60" t="s">
        <v>119</v>
      </c>
      <c r="C3490" s="60">
        <v>140</v>
      </c>
      <c r="D3490" s="60">
        <v>456200</v>
      </c>
      <c r="E3490" s="60">
        <f t="shared" si="54"/>
        <v>-456200</v>
      </c>
    </row>
    <row r="3491" spans="1:5" x14ac:dyDescent="0.25">
      <c r="A3491" s="60">
        <v>542</v>
      </c>
      <c r="B3491" s="60" t="s">
        <v>119</v>
      </c>
      <c r="C3491" s="60">
        <v>200</v>
      </c>
      <c r="D3491" s="60">
        <v>15389</v>
      </c>
      <c r="E3491" s="60">
        <f t="shared" si="54"/>
        <v>-15389</v>
      </c>
    </row>
    <row r="3492" spans="1:5" x14ac:dyDescent="0.25">
      <c r="A3492" s="60">
        <v>542</v>
      </c>
      <c r="B3492" s="60" t="s">
        <v>119</v>
      </c>
      <c r="C3492" s="60">
        <v>210</v>
      </c>
      <c r="D3492" s="60">
        <v>18322</v>
      </c>
      <c r="E3492" s="60">
        <f t="shared" si="54"/>
        <v>-18322</v>
      </c>
    </row>
    <row r="3493" spans="1:5" x14ac:dyDescent="0.25">
      <c r="A3493" s="60">
        <v>542</v>
      </c>
      <c r="B3493" s="60" t="s">
        <v>119</v>
      </c>
      <c r="C3493" s="60">
        <v>220</v>
      </c>
      <c r="D3493" s="60">
        <v>2853</v>
      </c>
      <c r="E3493" s="60">
        <f t="shared" si="54"/>
        <v>-2853</v>
      </c>
    </row>
    <row r="3494" spans="1:5" x14ac:dyDescent="0.25">
      <c r="A3494" s="60">
        <v>542</v>
      </c>
      <c r="B3494" s="60" t="s">
        <v>119</v>
      </c>
      <c r="C3494" s="60">
        <v>230</v>
      </c>
      <c r="D3494" s="60">
        <v>1041</v>
      </c>
      <c r="E3494" s="60">
        <f t="shared" si="54"/>
        <v>-1041</v>
      </c>
    </row>
    <row r="3495" spans="1:5" x14ac:dyDescent="0.25">
      <c r="A3495" s="60">
        <v>542</v>
      </c>
      <c r="B3495" s="60" t="s">
        <v>119</v>
      </c>
      <c r="C3495" s="60">
        <v>270</v>
      </c>
      <c r="D3495" s="60">
        <v>0</v>
      </c>
      <c r="E3495" s="60">
        <f t="shared" si="54"/>
        <v>0</v>
      </c>
    </row>
    <row r="3496" spans="1:5" x14ac:dyDescent="0.25">
      <c r="A3496" s="60">
        <v>542</v>
      </c>
      <c r="B3496" s="60" t="s">
        <v>120</v>
      </c>
      <c r="C3496" s="60">
        <v>1</v>
      </c>
      <c r="D3496" s="60">
        <v>0</v>
      </c>
      <c r="E3496" s="60">
        <f t="shared" si="54"/>
        <v>0</v>
      </c>
    </row>
    <row r="3497" spans="1:5" x14ac:dyDescent="0.25">
      <c r="A3497" s="60">
        <v>542</v>
      </c>
      <c r="B3497" s="60" t="s">
        <v>120</v>
      </c>
      <c r="C3497" s="60">
        <v>10</v>
      </c>
      <c r="D3497" s="60">
        <v>180580</v>
      </c>
      <c r="E3497" s="60">
        <f t="shared" si="54"/>
        <v>180580</v>
      </c>
    </row>
    <row r="3498" spans="1:5" x14ac:dyDescent="0.25">
      <c r="A3498" s="60">
        <v>542</v>
      </c>
      <c r="B3498" s="60" t="s">
        <v>120</v>
      </c>
      <c r="C3498" s="60">
        <v>20</v>
      </c>
      <c r="D3498" s="60">
        <v>1806</v>
      </c>
      <c r="E3498" s="60">
        <f t="shared" si="54"/>
        <v>1806</v>
      </c>
    </row>
    <row r="3499" spans="1:5" x14ac:dyDescent="0.25">
      <c r="A3499" s="60">
        <v>542</v>
      </c>
      <c r="B3499" s="60" t="s">
        <v>120</v>
      </c>
      <c r="C3499" s="60">
        <v>50</v>
      </c>
      <c r="D3499" s="60">
        <v>0</v>
      </c>
      <c r="E3499" s="60">
        <f t="shared" si="54"/>
        <v>0</v>
      </c>
    </row>
    <row r="3500" spans="1:5" x14ac:dyDescent="0.25">
      <c r="A3500" s="60">
        <v>542</v>
      </c>
      <c r="B3500" s="60" t="s">
        <v>120</v>
      </c>
      <c r="C3500" s="60">
        <v>70</v>
      </c>
      <c r="D3500" s="60">
        <v>0</v>
      </c>
      <c r="E3500" s="60">
        <f t="shared" si="54"/>
        <v>0</v>
      </c>
    </row>
    <row r="3501" spans="1:5" x14ac:dyDescent="0.25">
      <c r="A3501" s="60">
        <v>542</v>
      </c>
      <c r="B3501" s="60" t="s">
        <v>120</v>
      </c>
      <c r="C3501" s="60">
        <v>110</v>
      </c>
      <c r="D3501" s="60">
        <v>0</v>
      </c>
      <c r="E3501" s="60">
        <f t="shared" si="54"/>
        <v>0</v>
      </c>
    </row>
    <row r="3502" spans="1:5" x14ac:dyDescent="0.25">
      <c r="A3502" s="60">
        <v>542</v>
      </c>
      <c r="B3502" s="60" t="s">
        <v>120</v>
      </c>
      <c r="C3502" s="60">
        <v>120</v>
      </c>
      <c r="D3502" s="60">
        <v>0</v>
      </c>
      <c r="E3502" s="60">
        <f t="shared" si="54"/>
        <v>0</v>
      </c>
    </row>
    <row r="3503" spans="1:5" x14ac:dyDescent="0.25">
      <c r="A3503" s="60">
        <v>542</v>
      </c>
      <c r="B3503" s="60" t="s">
        <v>120</v>
      </c>
      <c r="C3503" s="60">
        <v>140</v>
      </c>
      <c r="D3503" s="60">
        <v>176980</v>
      </c>
      <c r="E3503" s="60">
        <f t="shared" si="54"/>
        <v>-176980</v>
      </c>
    </row>
    <row r="3504" spans="1:5" x14ac:dyDescent="0.25">
      <c r="A3504" s="60">
        <v>542</v>
      </c>
      <c r="B3504" s="60" t="s">
        <v>120</v>
      </c>
      <c r="C3504" s="60">
        <v>200</v>
      </c>
      <c r="D3504" s="60">
        <v>1806</v>
      </c>
      <c r="E3504" s="60">
        <f t="shared" si="54"/>
        <v>-1806</v>
      </c>
    </row>
    <row r="3505" spans="1:5" x14ac:dyDescent="0.25">
      <c r="A3505" s="60">
        <v>542</v>
      </c>
      <c r="B3505" s="60" t="s">
        <v>120</v>
      </c>
      <c r="C3505" s="60">
        <v>210</v>
      </c>
      <c r="D3505" s="60">
        <v>0</v>
      </c>
      <c r="E3505" s="60">
        <f t="shared" si="54"/>
        <v>0</v>
      </c>
    </row>
    <row r="3506" spans="1:5" x14ac:dyDescent="0.25">
      <c r="A3506" s="60">
        <v>542</v>
      </c>
      <c r="B3506" s="60" t="s">
        <v>120</v>
      </c>
      <c r="C3506" s="60">
        <v>220</v>
      </c>
      <c r="D3506" s="60">
        <v>3600</v>
      </c>
      <c r="E3506" s="60">
        <f t="shared" si="54"/>
        <v>-3600</v>
      </c>
    </row>
    <row r="3507" spans="1:5" x14ac:dyDescent="0.25">
      <c r="A3507" s="60">
        <v>542</v>
      </c>
      <c r="B3507" s="60" t="s">
        <v>120</v>
      </c>
      <c r="C3507" s="60">
        <v>230</v>
      </c>
      <c r="D3507" s="60">
        <v>0</v>
      </c>
      <c r="E3507" s="60">
        <f t="shared" si="54"/>
        <v>0</v>
      </c>
    </row>
    <row r="3508" spans="1:5" x14ac:dyDescent="0.25">
      <c r="A3508" s="60">
        <v>542</v>
      </c>
      <c r="B3508" s="60" t="s">
        <v>121</v>
      </c>
      <c r="C3508" s="60">
        <v>1</v>
      </c>
      <c r="D3508" s="60">
        <v>0</v>
      </c>
      <c r="E3508" s="60">
        <f t="shared" si="54"/>
        <v>0</v>
      </c>
    </row>
    <row r="3509" spans="1:5" x14ac:dyDescent="0.25">
      <c r="A3509" s="60">
        <v>542</v>
      </c>
      <c r="B3509" s="60" t="s">
        <v>121</v>
      </c>
      <c r="C3509" s="60">
        <v>10</v>
      </c>
      <c r="D3509" s="60">
        <v>198640</v>
      </c>
      <c r="E3509" s="60">
        <f t="shared" si="54"/>
        <v>198640</v>
      </c>
    </row>
    <row r="3510" spans="1:5" x14ac:dyDescent="0.25">
      <c r="A3510" s="60">
        <v>542</v>
      </c>
      <c r="B3510" s="60" t="s">
        <v>121</v>
      </c>
      <c r="C3510" s="60">
        <v>20</v>
      </c>
      <c r="D3510" s="60">
        <v>8021</v>
      </c>
      <c r="E3510" s="60">
        <f t="shared" si="54"/>
        <v>8021</v>
      </c>
    </row>
    <row r="3511" spans="1:5" x14ac:dyDescent="0.25">
      <c r="A3511" s="60">
        <v>542</v>
      </c>
      <c r="B3511" s="60" t="s">
        <v>121</v>
      </c>
      <c r="C3511" s="60">
        <v>110</v>
      </c>
      <c r="D3511" s="60">
        <v>195740</v>
      </c>
      <c r="E3511" s="60">
        <f t="shared" si="54"/>
        <v>-195740</v>
      </c>
    </row>
    <row r="3512" spans="1:5" x14ac:dyDescent="0.25">
      <c r="A3512" s="60">
        <v>542</v>
      </c>
      <c r="B3512" s="60" t="s">
        <v>121</v>
      </c>
      <c r="C3512" s="60">
        <v>210</v>
      </c>
      <c r="D3512" s="60">
        <v>10921</v>
      </c>
      <c r="E3512" s="60">
        <f t="shared" si="54"/>
        <v>-10921</v>
      </c>
    </row>
    <row r="3513" spans="1:5" x14ac:dyDescent="0.25">
      <c r="A3513" s="60">
        <v>543</v>
      </c>
      <c r="B3513" s="60" t="s">
        <v>117</v>
      </c>
      <c r="C3513" s="60">
        <v>1</v>
      </c>
      <c r="D3513" s="60">
        <v>14996589</v>
      </c>
      <c r="E3513" s="60">
        <f t="shared" si="54"/>
        <v>14996589</v>
      </c>
    </row>
    <row r="3514" spans="1:5" x14ac:dyDescent="0.25">
      <c r="A3514" s="60">
        <v>543</v>
      </c>
      <c r="B3514" s="60" t="s">
        <v>117</v>
      </c>
      <c r="C3514" s="60">
        <v>10</v>
      </c>
      <c r="D3514" s="60">
        <v>52877420</v>
      </c>
      <c r="E3514" s="60">
        <f t="shared" si="54"/>
        <v>52877420</v>
      </c>
    </row>
    <row r="3515" spans="1:5" x14ac:dyDescent="0.25">
      <c r="A3515" s="60">
        <v>543</v>
      </c>
      <c r="B3515" s="60" t="s">
        <v>117</v>
      </c>
      <c r="C3515" s="60">
        <v>50</v>
      </c>
      <c r="D3515" s="60">
        <v>3885160</v>
      </c>
      <c r="E3515" s="60">
        <f t="shared" si="54"/>
        <v>3885160</v>
      </c>
    </row>
    <row r="3516" spans="1:5" x14ac:dyDescent="0.25">
      <c r="A3516" s="60">
        <v>543</v>
      </c>
      <c r="B3516" s="60" t="s">
        <v>117</v>
      </c>
      <c r="C3516" s="60">
        <v>70</v>
      </c>
      <c r="D3516" s="60">
        <v>0</v>
      </c>
      <c r="E3516" s="60">
        <f t="shared" si="54"/>
        <v>0</v>
      </c>
    </row>
    <row r="3517" spans="1:5" x14ac:dyDescent="0.25">
      <c r="A3517" s="60">
        <v>543</v>
      </c>
      <c r="B3517" s="60" t="s">
        <v>117</v>
      </c>
      <c r="C3517" s="60">
        <v>110</v>
      </c>
      <c r="D3517" s="60">
        <v>36801980</v>
      </c>
      <c r="E3517" s="60">
        <f t="shared" si="54"/>
        <v>-36801980</v>
      </c>
    </row>
    <row r="3518" spans="1:5" x14ac:dyDescent="0.25">
      <c r="A3518" s="60">
        <v>543</v>
      </c>
      <c r="B3518" s="60" t="s">
        <v>117</v>
      </c>
      <c r="C3518" s="60">
        <v>140</v>
      </c>
      <c r="D3518" s="60">
        <v>0</v>
      </c>
      <c r="E3518" s="60">
        <f t="shared" si="54"/>
        <v>0</v>
      </c>
    </row>
    <row r="3519" spans="1:5" x14ac:dyDescent="0.25">
      <c r="A3519" s="60">
        <v>543</v>
      </c>
      <c r="B3519" s="60" t="s">
        <v>117</v>
      </c>
      <c r="C3519" s="60">
        <v>141</v>
      </c>
      <c r="D3519" s="60">
        <v>5806220</v>
      </c>
      <c r="E3519" s="60">
        <f t="shared" si="54"/>
        <v>-5806220</v>
      </c>
    </row>
    <row r="3520" spans="1:5" x14ac:dyDescent="0.25">
      <c r="A3520" s="60">
        <v>543</v>
      </c>
      <c r="B3520" s="60" t="s">
        <v>117</v>
      </c>
      <c r="C3520" s="60">
        <v>200</v>
      </c>
      <c r="D3520" s="60">
        <v>263936</v>
      </c>
      <c r="E3520" s="60">
        <f t="shared" si="54"/>
        <v>-263936</v>
      </c>
    </row>
    <row r="3521" spans="1:5" x14ac:dyDescent="0.25">
      <c r="A3521" s="60">
        <v>543</v>
      </c>
      <c r="B3521" s="60" t="s">
        <v>117</v>
      </c>
      <c r="C3521" s="60">
        <v>210</v>
      </c>
      <c r="D3521" s="60">
        <v>279563</v>
      </c>
      <c r="E3521" s="60">
        <f t="shared" si="54"/>
        <v>-279563</v>
      </c>
    </row>
    <row r="3522" spans="1:5" x14ac:dyDescent="0.25">
      <c r="A3522" s="60">
        <v>543</v>
      </c>
      <c r="B3522" s="60" t="s">
        <v>117</v>
      </c>
      <c r="C3522" s="60">
        <v>220</v>
      </c>
      <c r="D3522" s="60">
        <v>0</v>
      </c>
      <c r="E3522" s="60">
        <f t="shared" ref="E3522:E3585" si="55">IF(C3522&lt;100,D3522,D3522*-1)</f>
        <v>0</v>
      </c>
    </row>
    <row r="3523" spans="1:5" x14ac:dyDescent="0.25">
      <c r="A3523" s="60">
        <v>543</v>
      </c>
      <c r="B3523" s="60" t="s">
        <v>117</v>
      </c>
      <c r="C3523" s="60">
        <v>230</v>
      </c>
      <c r="D3523" s="60">
        <v>0</v>
      </c>
      <c r="E3523" s="60">
        <f t="shared" si="55"/>
        <v>0</v>
      </c>
    </row>
    <row r="3524" spans="1:5" x14ac:dyDescent="0.25">
      <c r="A3524" s="60">
        <v>543</v>
      </c>
      <c r="B3524" s="60" t="s">
        <v>117</v>
      </c>
      <c r="C3524" s="60">
        <v>270</v>
      </c>
      <c r="D3524" s="60">
        <v>0</v>
      </c>
      <c r="E3524" s="60">
        <f t="shared" si="55"/>
        <v>0</v>
      </c>
    </row>
    <row r="3525" spans="1:5" x14ac:dyDescent="0.25">
      <c r="A3525" s="60">
        <v>543</v>
      </c>
      <c r="B3525" s="60" t="s">
        <v>118</v>
      </c>
      <c r="C3525" s="60">
        <v>1</v>
      </c>
      <c r="D3525" s="60">
        <v>10594429</v>
      </c>
      <c r="E3525" s="60">
        <f t="shared" si="55"/>
        <v>10594429</v>
      </c>
    </row>
    <row r="3526" spans="1:5" x14ac:dyDescent="0.25">
      <c r="A3526" s="60">
        <v>543</v>
      </c>
      <c r="B3526" s="60" t="s">
        <v>118</v>
      </c>
      <c r="C3526" s="60">
        <v>10</v>
      </c>
      <c r="D3526" s="60">
        <v>21559500</v>
      </c>
      <c r="E3526" s="60">
        <f t="shared" si="55"/>
        <v>21559500</v>
      </c>
    </row>
    <row r="3527" spans="1:5" x14ac:dyDescent="0.25">
      <c r="A3527" s="60">
        <v>543</v>
      </c>
      <c r="B3527" s="60" t="s">
        <v>118</v>
      </c>
      <c r="C3527" s="60">
        <v>70</v>
      </c>
      <c r="D3527" s="60">
        <v>0</v>
      </c>
      <c r="E3527" s="60">
        <f t="shared" si="55"/>
        <v>0</v>
      </c>
    </row>
    <row r="3528" spans="1:5" x14ac:dyDescent="0.25">
      <c r="A3528" s="60">
        <v>543</v>
      </c>
      <c r="B3528" s="60" t="s">
        <v>118</v>
      </c>
      <c r="C3528" s="60">
        <v>110</v>
      </c>
      <c r="D3528" s="60">
        <v>15278500</v>
      </c>
      <c r="E3528" s="60">
        <f t="shared" si="55"/>
        <v>-15278500</v>
      </c>
    </row>
    <row r="3529" spans="1:5" x14ac:dyDescent="0.25">
      <c r="A3529" s="60">
        <v>543</v>
      </c>
      <c r="B3529" s="60" t="s">
        <v>118</v>
      </c>
      <c r="C3529" s="60">
        <v>140</v>
      </c>
      <c r="D3529" s="60">
        <v>206160</v>
      </c>
      <c r="E3529" s="60">
        <f t="shared" si="55"/>
        <v>-206160</v>
      </c>
    </row>
    <row r="3530" spans="1:5" x14ac:dyDescent="0.25">
      <c r="A3530" s="60">
        <v>543</v>
      </c>
      <c r="B3530" s="60" t="s">
        <v>118</v>
      </c>
      <c r="C3530" s="60">
        <v>141</v>
      </c>
      <c r="D3530" s="60">
        <v>2344820</v>
      </c>
      <c r="E3530" s="60">
        <f t="shared" si="55"/>
        <v>-2344820</v>
      </c>
    </row>
    <row r="3531" spans="1:5" x14ac:dyDescent="0.25">
      <c r="A3531" s="60">
        <v>543</v>
      </c>
      <c r="B3531" s="60" t="s">
        <v>118</v>
      </c>
      <c r="C3531" s="60">
        <v>200</v>
      </c>
      <c r="D3531" s="60">
        <v>107797</v>
      </c>
      <c r="E3531" s="60">
        <f t="shared" si="55"/>
        <v>-107797</v>
      </c>
    </row>
    <row r="3532" spans="1:5" x14ac:dyDescent="0.25">
      <c r="A3532" s="60">
        <v>543</v>
      </c>
      <c r="B3532" s="60" t="s">
        <v>118</v>
      </c>
      <c r="C3532" s="60">
        <v>230</v>
      </c>
      <c r="D3532" s="60">
        <v>236311</v>
      </c>
      <c r="E3532" s="60">
        <f t="shared" si="55"/>
        <v>-236311</v>
      </c>
    </row>
    <row r="3533" spans="1:5" x14ac:dyDescent="0.25">
      <c r="A3533" s="60">
        <v>543</v>
      </c>
      <c r="B3533" s="60" t="s">
        <v>118</v>
      </c>
      <c r="C3533" s="60">
        <v>270</v>
      </c>
      <c r="D3533" s="60">
        <v>0</v>
      </c>
      <c r="E3533" s="60">
        <f t="shared" si="55"/>
        <v>0</v>
      </c>
    </row>
    <row r="3534" spans="1:5" x14ac:dyDescent="0.25">
      <c r="A3534" s="60">
        <v>543</v>
      </c>
      <c r="B3534" s="60" t="s">
        <v>119</v>
      </c>
      <c r="C3534" s="60">
        <v>1</v>
      </c>
      <c r="D3534" s="60">
        <v>4086456</v>
      </c>
      <c r="E3534" s="60">
        <f t="shared" si="55"/>
        <v>4086456</v>
      </c>
    </row>
    <row r="3535" spans="1:5" x14ac:dyDescent="0.25">
      <c r="A3535" s="60">
        <v>543</v>
      </c>
      <c r="B3535" s="60" t="s">
        <v>119</v>
      </c>
      <c r="C3535" s="60">
        <v>10</v>
      </c>
      <c r="D3535" s="60">
        <v>3211680</v>
      </c>
      <c r="E3535" s="60">
        <f t="shared" si="55"/>
        <v>3211680</v>
      </c>
    </row>
    <row r="3536" spans="1:5" x14ac:dyDescent="0.25">
      <c r="A3536" s="60">
        <v>543</v>
      </c>
      <c r="B3536" s="60" t="s">
        <v>119</v>
      </c>
      <c r="C3536" s="60">
        <v>50</v>
      </c>
      <c r="D3536" s="60">
        <v>39160</v>
      </c>
      <c r="E3536" s="60">
        <f t="shared" si="55"/>
        <v>39160</v>
      </c>
    </row>
    <row r="3537" spans="1:5" x14ac:dyDescent="0.25">
      <c r="A3537" s="60">
        <v>543</v>
      </c>
      <c r="B3537" s="60" t="s">
        <v>119</v>
      </c>
      <c r="C3537" s="60">
        <v>110</v>
      </c>
      <c r="D3537" s="60">
        <v>6168940</v>
      </c>
      <c r="E3537" s="60">
        <f t="shared" si="55"/>
        <v>-6168940</v>
      </c>
    </row>
    <row r="3538" spans="1:5" x14ac:dyDescent="0.25">
      <c r="A3538" s="60">
        <v>543</v>
      </c>
      <c r="B3538" s="60" t="s">
        <v>119</v>
      </c>
      <c r="C3538" s="60">
        <v>140</v>
      </c>
      <c r="D3538" s="60">
        <v>0</v>
      </c>
      <c r="E3538" s="60">
        <f t="shared" si="55"/>
        <v>0</v>
      </c>
    </row>
    <row r="3539" spans="1:5" x14ac:dyDescent="0.25">
      <c r="A3539" s="60">
        <v>543</v>
      </c>
      <c r="B3539" s="60" t="s">
        <v>119</v>
      </c>
      <c r="C3539" s="60">
        <v>200</v>
      </c>
      <c r="D3539" s="60">
        <v>16058</v>
      </c>
      <c r="E3539" s="60">
        <f t="shared" si="55"/>
        <v>-16058</v>
      </c>
    </row>
    <row r="3540" spans="1:5" x14ac:dyDescent="0.25">
      <c r="A3540" s="60">
        <v>543</v>
      </c>
      <c r="B3540" s="60" t="s">
        <v>119</v>
      </c>
      <c r="C3540" s="60">
        <v>210</v>
      </c>
      <c r="D3540" s="60">
        <v>12258</v>
      </c>
      <c r="E3540" s="60">
        <f t="shared" si="55"/>
        <v>-12258</v>
      </c>
    </row>
    <row r="3541" spans="1:5" x14ac:dyDescent="0.25">
      <c r="A3541" s="60">
        <v>543</v>
      </c>
      <c r="B3541" s="60" t="s">
        <v>119</v>
      </c>
      <c r="C3541" s="60">
        <v>230</v>
      </c>
      <c r="D3541" s="60">
        <v>1897</v>
      </c>
      <c r="E3541" s="60">
        <f t="shared" si="55"/>
        <v>-1897</v>
      </c>
    </row>
    <row r="3542" spans="1:5" x14ac:dyDescent="0.25">
      <c r="A3542" s="60">
        <v>543</v>
      </c>
      <c r="B3542" s="60" t="s">
        <v>119</v>
      </c>
      <c r="C3542" s="60">
        <v>270</v>
      </c>
      <c r="D3542" s="60">
        <v>0</v>
      </c>
      <c r="E3542" s="60">
        <f t="shared" si="55"/>
        <v>0</v>
      </c>
    </row>
    <row r="3543" spans="1:5" x14ac:dyDescent="0.25">
      <c r="A3543" s="60">
        <v>543</v>
      </c>
      <c r="B3543" s="60" t="s">
        <v>120</v>
      </c>
      <c r="C3543" s="60">
        <v>1</v>
      </c>
      <c r="D3543" s="60">
        <v>3134877</v>
      </c>
      <c r="E3543" s="60">
        <f t="shared" si="55"/>
        <v>3134877</v>
      </c>
    </row>
    <row r="3544" spans="1:5" x14ac:dyDescent="0.25">
      <c r="A3544" s="60">
        <v>543</v>
      </c>
      <c r="B3544" s="60" t="s">
        <v>120</v>
      </c>
      <c r="C3544" s="60">
        <v>10</v>
      </c>
      <c r="D3544" s="60">
        <v>4554120</v>
      </c>
      <c r="E3544" s="60">
        <f t="shared" si="55"/>
        <v>4554120</v>
      </c>
    </row>
    <row r="3545" spans="1:5" x14ac:dyDescent="0.25">
      <c r="A3545" s="60">
        <v>543</v>
      </c>
      <c r="B3545" s="60" t="s">
        <v>120</v>
      </c>
      <c r="C3545" s="60">
        <v>20</v>
      </c>
      <c r="D3545" s="60">
        <v>0</v>
      </c>
      <c r="E3545" s="60">
        <f t="shared" si="55"/>
        <v>0</v>
      </c>
    </row>
    <row r="3546" spans="1:5" x14ac:dyDescent="0.25">
      <c r="A3546" s="60">
        <v>543</v>
      </c>
      <c r="B3546" s="60" t="s">
        <v>120</v>
      </c>
      <c r="C3546" s="60">
        <v>110</v>
      </c>
      <c r="D3546" s="60">
        <v>4193940</v>
      </c>
      <c r="E3546" s="60">
        <f t="shared" si="55"/>
        <v>-4193940</v>
      </c>
    </row>
    <row r="3547" spans="1:5" x14ac:dyDescent="0.25">
      <c r="A3547" s="60">
        <v>543</v>
      </c>
      <c r="B3547" s="60" t="s">
        <v>120</v>
      </c>
      <c r="C3547" s="60">
        <v>120</v>
      </c>
      <c r="D3547" s="60">
        <v>0</v>
      </c>
      <c r="E3547" s="60">
        <f t="shared" si="55"/>
        <v>0</v>
      </c>
    </row>
    <row r="3548" spans="1:5" x14ac:dyDescent="0.25">
      <c r="A3548" s="60">
        <v>543</v>
      </c>
      <c r="B3548" s="60" t="s">
        <v>120</v>
      </c>
      <c r="C3548" s="60">
        <v>140</v>
      </c>
      <c r="D3548" s="60">
        <v>1222960</v>
      </c>
      <c r="E3548" s="60">
        <f t="shared" si="55"/>
        <v>-1222960</v>
      </c>
    </row>
    <row r="3549" spans="1:5" x14ac:dyDescent="0.25">
      <c r="A3549" s="60">
        <v>543</v>
      </c>
      <c r="B3549" s="60" t="s">
        <v>120</v>
      </c>
      <c r="C3549" s="60">
        <v>200</v>
      </c>
      <c r="D3549" s="60">
        <v>45541</v>
      </c>
      <c r="E3549" s="60">
        <f t="shared" si="55"/>
        <v>-45541</v>
      </c>
    </row>
    <row r="3550" spans="1:5" x14ac:dyDescent="0.25">
      <c r="A3550" s="60">
        <v>543</v>
      </c>
      <c r="B3550" s="60" t="s">
        <v>120</v>
      </c>
      <c r="C3550" s="60">
        <v>220</v>
      </c>
      <c r="D3550" s="60">
        <v>14777</v>
      </c>
      <c r="E3550" s="60">
        <f t="shared" si="55"/>
        <v>-14777</v>
      </c>
    </row>
    <row r="3551" spans="1:5" x14ac:dyDescent="0.25">
      <c r="A3551" s="60">
        <v>543</v>
      </c>
      <c r="B3551" s="60" t="s">
        <v>120</v>
      </c>
      <c r="C3551" s="60">
        <v>230</v>
      </c>
      <c r="D3551" s="60">
        <v>10104</v>
      </c>
      <c r="E3551" s="60">
        <f t="shared" si="55"/>
        <v>-10104</v>
      </c>
    </row>
    <row r="3552" spans="1:5" x14ac:dyDescent="0.25">
      <c r="A3552" s="60">
        <v>544</v>
      </c>
      <c r="B3552" s="60" t="s">
        <v>117</v>
      </c>
      <c r="C3552" s="60">
        <v>1</v>
      </c>
      <c r="D3552" s="60">
        <v>10587456</v>
      </c>
      <c r="E3552" s="60">
        <f t="shared" si="55"/>
        <v>10587456</v>
      </c>
    </row>
    <row r="3553" spans="1:5" x14ac:dyDescent="0.25">
      <c r="A3553" s="60">
        <v>544</v>
      </c>
      <c r="B3553" s="60" t="s">
        <v>117</v>
      </c>
      <c r="C3553" s="60">
        <v>10</v>
      </c>
      <c r="D3553" s="60">
        <v>36746900</v>
      </c>
      <c r="E3553" s="60">
        <f t="shared" si="55"/>
        <v>36746900</v>
      </c>
    </row>
    <row r="3554" spans="1:5" x14ac:dyDescent="0.25">
      <c r="A3554" s="60">
        <v>544</v>
      </c>
      <c r="B3554" s="60" t="s">
        <v>117</v>
      </c>
      <c r="C3554" s="60">
        <v>50</v>
      </c>
      <c r="D3554" s="60">
        <v>0</v>
      </c>
      <c r="E3554" s="60">
        <f t="shared" si="55"/>
        <v>0</v>
      </c>
    </row>
    <row r="3555" spans="1:5" x14ac:dyDescent="0.25">
      <c r="A3555" s="60">
        <v>544</v>
      </c>
      <c r="B3555" s="60" t="s">
        <v>117</v>
      </c>
      <c r="C3555" s="60">
        <v>70</v>
      </c>
      <c r="D3555" s="60">
        <v>0</v>
      </c>
      <c r="E3555" s="60">
        <f t="shared" si="55"/>
        <v>0</v>
      </c>
    </row>
    <row r="3556" spans="1:5" x14ac:dyDescent="0.25">
      <c r="A3556" s="60">
        <v>544</v>
      </c>
      <c r="B3556" s="60" t="s">
        <v>117</v>
      </c>
      <c r="C3556" s="60">
        <v>100</v>
      </c>
      <c r="D3556" s="60">
        <v>4298520</v>
      </c>
      <c r="E3556" s="60">
        <f t="shared" si="55"/>
        <v>-4298520</v>
      </c>
    </row>
    <row r="3557" spans="1:5" x14ac:dyDescent="0.25">
      <c r="A3557" s="60">
        <v>544</v>
      </c>
      <c r="B3557" s="60" t="s">
        <v>117</v>
      </c>
      <c r="C3557" s="60">
        <v>110</v>
      </c>
      <c r="D3557" s="60">
        <v>21467120</v>
      </c>
      <c r="E3557" s="60">
        <f t="shared" si="55"/>
        <v>-21467120</v>
      </c>
    </row>
    <row r="3558" spans="1:5" x14ac:dyDescent="0.25">
      <c r="A3558" s="60">
        <v>544</v>
      </c>
      <c r="B3558" s="60" t="s">
        <v>117</v>
      </c>
      <c r="C3558" s="60">
        <v>120</v>
      </c>
      <c r="D3558" s="60">
        <v>0</v>
      </c>
      <c r="E3558" s="60">
        <f t="shared" si="55"/>
        <v>0</v>
      </c>
    </row>
    <row r="3559" spans="1:5" x14ac:dyDescent="0.25">
      <c r="A3559" s="60">
        <v>544</v>
      </c>
      <c r="B3559" s="60" t="s">
        <v>117</v>
      </c>
      <c r="C3559" s="60">
        <v>130</v>
      </c>
      <c r="D3559" s="60">
        <v>0</v>
      </c>
      <c r="E3559" s="60">
        <f t="shared" si="55"/>
        <v>0</v>
      </c>
    </row>
    <row r="3560" spans="1:5" x14ac:dyDescent="0.25">
      <c r="A3560" s="60">
        <v>544</v>
      </c>
      <c r="B3560" s="60" t="s">
        <v>117</v>
      </c>
      <c r="C3560" s="60">
        <v>140</v>
      </c>
      <c r="D3560" s="60">
        <v>5373320</v>
      </c>
      <c r="E3560" s="60">
        <f t="shared" si="55"/>
        <v>-5373320</v>
      </c>
    </row>
    <row r="3561" spans="1:5" x14ac:dyDescent="0.25">
      <c r="A3561" s="60">
        <v>544</v>
      </c>
      <c r="B3561" s="60" t="s">
        <v>117</v>
      </c>
      <c r="C3561" s="60">
        <v>200</v>
      </c>
      <c r="D3561" s="60">
        <v>182995</v>
      </c>
      <c r="E3561" s="60">
        <f t="shared" si="55"/>
        <v>-182995</v>
      </c>
    </row>
    <row r="3562" spans="1:5" x14ac:dyDescent="0.25">
      <c r="A3562" s="60">
        <v>544</v>
      </c>
      <c r="B3562" s="60" t="s">
        <v>117</v>
      </c>
      <c r="C3562" s="60">
        <v>210</v>
      </c>
      <c r="D3562" s="60">
        <v>303992</v>
      </c>
      <c r="E3562" s="60">
        <f t="shared" si="55"/>
        <v>-303992</v>
      </c>
    </row>
    <row r="3563" spans="1:5" x14ac:dyDescent="0.25">
      <c r="A3563" s="60">
        <v>544</v>
      </c>
      <c r="B3563" s="60" t="s">
        <v>117</v>
      </c>
      <c r="C3563" s="60">
        <v>220</v>
      </c>
      <c r="D3563" s="60">
        <v>0</v>
      </c>
      <c r="E3563" s="60">
        <f t="shared" si="55"/>
        <v>0</v>
      </c>
    </row>
    <row r="3564" spans="1:5" x14ac:dyDescent="0.25">
      <c r="A3564" s="60">
        <v>544</v>
      </c>
      <c r="B3564" s="60" t="s">
        <v>117</v>
      </c>
      <c r="C3564" s="60">
        <v>230</v>
      </c>
      <c r="D3564" s="60">
        <v>0</v>
      </c>
      <c r="E3564" s="60">
        <f t="shared" si="55"/>
        <v>0</v>
      </c>
    </row>
    <row r="3565" spans="1:5" x14ac:dyDescent="0.25">
      <c r="A3565" s="60">
        <v>544</v>
      </c>
      <c r="B3565" s="60" t="s">
        <v>117</v>
      </c>
      <c r="C3565" s="60">
        <v>270</v>
      </c>
      <c r="D3565" s="60">
        <v>0</v>
      </c>
      <c r="E3565" s="60">
        <f t="shared" si="55"/>
        <v>0</v>
      </c>
    </row>
    <row r="3566" spans="1:5" x14ac:dyDescent="0.25">
      <c r="A3566" s="60">
        <v>544</v>
      </c>
      <c r="B3566" s="60" t="s">
        <v>118</v>
      </c>
      <c r="C3566" s="60">
        <v>1</v>
      </c>
      <c r="D3566" s="60">
        <v>16906093</v>
      </c>
      <c r="E3566" s="60">
        <f t="shared" si="55"/>
        <v>16906093</v>
      </c>
    </row>
    <row r="3567" spans="1:5" x14ac:dyDescent="0.25">
      <c r="A3567" s="60">
        <v>544</v>
      </c>
      <c r="B3567" s="60" t="s">
        <v>118</v>
      </c>
      <c r="C3567" s="60">
        <v>10</v>
      </c>
      <c r="D3567" s="60">
        <v>28787800</v>
      </c>
      <c r="E3567" s="60">
        <f t="shared" si="55"/>
        <v>28787800</v>
      </c>
    </row>
    <row r="3568" spans="1:5" x14ac:dyDescent="0.25">
      <c r="A3568" s="60">
        <v>544</v>
      </c>
      <c r="B3568" s="60" t="s">
        <v>118</v>
      </c>
      <c r="C3568" s="60">
        <v>50</v>
      </c>
      <c r="D3568" s="60">
        <v>0</v>
      </c>
      <c r="E3568" s="60">
        <f t="shared" si="55"/>
        <v>0</v>
      </c>
    </row>
    <row r="3569" spans="1:5" x14ac:dyDescent="0.25">
      <c r="A3569" s="60">
        <v>544</v>
      </c>
      <c r="B3569" s="60" t="s">
        <v>118</v>
      </c>
      <c r="C3569" s="60">
        <v>70</v>
      </c>
      <c r="D3569" s="60">
        <v>0</v>
      </c>
      <c r="E3569" s="60">
        <f t="shared" si="55"/>
        <v>0</v>
      </c>
    </row>
    <row r="3570" spans="1:5" x14ac:dyDescent="0.25">
      <c r="A3570" s="60">
        <v>544</v>
      </c>
      <c r="B3570" s="60" t="s">
        <v>118</v>
      </c>
      <c r="C3570" s="60">
        <v>110</v>
      </c>
      <c r="D3570" s="60">
        <v>19060300</v>
      </c>
      <c r="E3570" s="60">
        <f t="shared" si="55"/>
        <v>-19060300</v>
      </c>
    </row>
    <row r="3571" spans="1:5" x14ac:dyDescent="0.25">
      <c r="A3571" s="60">
        <v>544</v>
      </c>
      <c r="B3571" s="60" t="s">
        <v>118</v>
      </c>
      <c r="C3571" s="60">
        <v>120</v>
      </c>
      <c r="D3571" s="60">
        <v>2620</v>
      </c>
      <c r="E3571" s="60">
        <f t="shared" si="55"/>
        <v>-2620</v>
      </c>
    </row>
    <row r="3572" spans="1:5" x14ac:dyDescent="0.25">
      <c r="A3572" s="60">
        <v>544</v>
      </c>
      <c r="B3572" s="60" t="s">
        <v>118</v>
      </c>
      <c r="C3572" s="60">
        <v>130</v>
      </c>
      <c r="D3572" s="60">
        <v>0</v>
      </c>
      <c r="E3572" s="60">
        <f t="shared" si="55"/>
        <v>0</v>
      </c>
    </row>
    <row r="3573" spans="1:5" x14ac:dyDescent="0.25">
      <c r="A3573" s="60">
        <v>544</v>
      </c>
      <c r="B3573" s="60" t="s">
        <v>118</v>
      </c>
      <c r="C3573" s="60">
        <v>140</v>
      </c>
      <c r="D3573" s="60">
        <v>5463760</v>
      </c>
      <c r="E3573" s="60">
        <f t="shared" si="55"/>
        <v>-5463760</v>
      </c>
    </row>
    <row r="3574" spans="1:5" x14ac:dyDescent="0.25">
      <c r="A3574" s="60">
        <v>544</v>
      </c>
      <c r="B3574" s="60" t="s">
        <v>118</v>
      </c>
      <c r="C3574" s="60">
        <v>150</v>
      </c>
      <c r="D3574" s="60">
        <v>0</v>
      </c>
      <c r="E3574" s="60">
        <f t="shared" si="55"/>
        <v>0</v>
      </c>
    </row>
    <row r="3575" spans="1:5" x14ac:dyDescent="0.25">
      <c r="A3575" s="60">
        <v>544</v>
      </c>
      <c r="B3575" s="60" t="s">
        <v>118</v>
      </c>
      <c r="C3575" s="60">
        <v>200</v>
      </c>
      <c r="D3575" s="60">
        <v>141317</v>
      </c>
      <c r="E3575" s="60">
        <f t="shared" si="55"/>
        <v>-141317</v>
      </c>
    </row>
    <row r="3576" spans="1:5" x14ac:dyDescent="0.25">
      <c r="A3576" s="60">
        <v>544</v>
      </c>
      <c r="B3576" s="60" t="s">
        <v>118</v>
      </c>
      <c r="C3576" s="60">
        <v>230</v>
      </c>
      <c r="D3576" s="60">
        <v>440865</v>
      </c>
      <c r="E3576" s="60">
        <f t="shared" si="55"/>
        <v>-440865</v>
      </c>
    </row>
    <row r="3577" spans="1:5" x14ac:dyDescent="0.25">
      <c r="A3577" s="60">
        <v>544</v>
      </c>
      <c r="B3577" s="60" t="s">
        <v>118</v>
      </c>
      <c r="C3577" s="60">
        <v>270</v>
      </c>
      <c r="D3577" s="60">
        <v>0</v>
      </c>
      <c r="E3577" s="60">
        <f t="shared" si="55"/>
        <v>0</v>
      </c>
    </row>
    <row r="3578" spans="1:5" x14ac:dyDescent="0.25">
      <c r="A3578" s="60">
        <v>544</v>
      </c>
      <c r="B3578" s="60" t="s">
        <v>119</v>
      </c>
      <c r="C3578" s="60">
        <v>1</v>
      </c>
      <c r="D3578" s="60">
        <v>124392</v>
      </c>
      <c r="E3578" s="60">
        <f t="shared" si="55"/>
        <v>124392</v>
      </c>
    </row>
    <row r="3579" spans="1:5" x14ac:dyDescent="0.25">
      <c r="A3579" s="60">
        <v>544</v>
      </c>
      <c r="B3579" s="60" t="s">
        <v>119</v>
      </c>
      <c r="C3579" s="60">
        <v>10</v>
      </c>
      <c r="D3579" s="60">
        <v>4232980</v>
      </c>
      <c r="E3579" s="60">
        <f t="shared" si="55"/>
        <v>4232980</v>
      </c>
    </row>
    <row r="3580" spans="1:5" x14ac:dyDescent="0.25">
      <c r="A3580" s="60">
        <v>544</v>
      </c>
      <c r="B3580" s="60" t="s">
        <v>119</v>
      </c>
      <c r="C3580" s="60">
        <v>20</v>
      </c>
      <c r="D3580" s="60">
        <v>16048</v>
      </c>
      <c r="E3580" s="60">
        <f t="shared" si="55"/>
        <v>16048</v>
      </c>
    </row>
    <row r="3581" spans="1:5" x14ac:dyDescent="0.25">
      <c r="A3581" s="60">
        <v>544</v>
      </c>
      <c r="B3581" s="60" t="s">
        <v>119</v>
      </c>
      <c r="C3581" s="60">
        <v>110</v>
      </c>
      <c r="D3581" s="60">
        <v>0</v>
      </c>
      <c r="E3581" s="60">
        <f t="shared" si="55"/>
        <v>0</v>
      </c>
    </row>
    <row r="3582" spans="1:5" x14ac:dyDescent="0.25">
      <c r="A3582" s="60">
        <v>544</v>
      </c>
      <c r="B3582" s="60" t="s">
        <v>119</v>
      </c>
      <c r="C3582" s="60">
        <v>140</v>
      </c>
      <c r="D3582" s="60">
        <v>140440</v>
      </c>
      <c r="E3582" s="60">
        <f t="shared" si="55"/>
        <v>-140440</v>
      </c>
    </row>
    <row r="3583" spans="1:5" x14ac:dyDescent="0.25">
      <c r="A3583" s="60">
        <v>544</v>
      </c>
      <c r="B3583" s="60" t="s">
        <v>119</v>
      </c>
      <c r="C3583" s="60">
        <v>200</v>
      </c>
      <c r="D3583" s="60">
        <v>21165</v>
      </c>
      <c r="E3583" s="60">
        <f t="shared" si="55"/>
        <v>-21165</v>
      </c>
    </row>
    <row r="3584" spans="1:5" x14ac:dyDescent="0.25">
      <c r="A3584" s="60">
        <v>544</v>
      </c>
      <c r="B3584" s="60" t="s">
        <v>119</v>
      </c>
      <c r="C3584" s="60">
        <v>210</v>
      </c>
      <c r="D3584" s="60">
        <v>9350</v>
      </c>
      <c r="E3584" s="60">
        <f t="shared" si="55"/>
        <v>-9350</v>
      </c>
    </row>
    <row r="3585" spans="1:5" x14ac:dyDescent="0.25">
      <c r="A3585" s="60">
        <v>544</v>
      </c>
      <c r="B3585" s="60" t="s">
        <v>119</v>
      </c>
      <c r="C3585" s="60">
        <v>220</v>
      </c>
      <c r="D3585" s="60">
        <v>0</v>
      </c>
      <c r="E3585" s="60">
        <f t="shared" si="55"/>
        <v>0</v>
      </c>
    </row>
    <row r="3586" spans="1:5" x14ac:dyDescent="0.25">
      <c r="A3586" s="60">
        <v>544</v>
      </c>
      <c r="B3586" s="60" t="s">
        <v>119</v>
      </c>
      <c r="C3586" s="60">
        <v>230</v>
      </c>
      <c r="D3586" s="60">
        <v>8169</v>
      </c>
      <c r="E3586" s="60">
        <f t="shared" ref="E3586:E3649" si="56">IF(C3586&lt;100,D3586,D3586*-1)</f>
        <v>-8169</v>
      </c>
    </row>
    <row r="3587" spans="1:5" x14ac:dyDescent="0.25">
      <c r="A3587" s="60">
        <v>544</v>
      </c>
      <c r="B3587" s="60" t="s">
        <v>119</v>
      </c>
      <c r="C3587" s="60">
        <v>270</v>
      </c>
      <c r="D3587" s="60">
        <v>0</v>
      </c>
      <c r="E3587" s="60">
        <f t="shared" si="56"/>
        <v>0</v>
      </c>
    </row>
    <row r="3588" spans="1:5" x14ac:dyDescent="0.25">
      <c r="A3588" s="60">
        <v>544</v>
      </c>
      <c r="B3588" s="60" t="s">
        <v>120</v>
      </c>
      <c r="C3588" s="60">
        <v>1</v>
      </c>
      <c r="D3588" s="60">
        <v>3606703</v>
      </c>
      <c r="E3588" s="60">
        <f t="shared" si="56"/>
        <v>3606703</v>
      </c>
    </row>
    <row r="3589" spans="1:5" x14ac:dyDescent="0.25">
      <c r="A3589" s="60">
        <v>544</v>
      </c>
      <c r="B3589" s="60" t="s">
        <v>120</v>
      </c>
      <c r="C3589" s="60">
        <v>10</v>
      </c>
      <c r="D3589" s="60">
        <v>13039300</v>
      </c>
      <c r="E3589" s="60">
        <f t="shared" si="56"/>
        <v>13039300</v>
      </c>
    </row>
    <row r="3590" spans="1:5" x14ac:dyDescent="0.25">
      <c r="A3590" s="60">
        <v>544</v>
      </c>
      <c r="B3590" s="60" t="s">
        <v>120</v>
      </c>
      <c r="C3590" s="60">
        <v>50</v>
      </c>
      <c r="D3590" s="60">
        <v>18180</v>
      </c>
      <c r="E3590" s="60">
        <f t="shared" si="56"/>
        <v>18180</v>
      </c>
    </row>
    <row r="3591" spans="1:5" x14ac:dyDescent="0.25">
      <c r="A3591" s="60">
        <v>544</v>
      </c>
      <c r="B3591" s="60" t="s">
        <v>120</v>
      </c>
      <c r="C3591" s="60">
        <v>110</v>
      </c>
      <c r="D3591" s="60">
        <v>6498180</v>
      </c>
      <c r="E3591" s="60">
        <f t="shared" si="56"/>
        <v>-6498180</v>
      </c>
    </row>
    <row r="3592" spans="1:5" x14ac:dyDescent="0.25">
      <c r="A3592" s="60">
        <v>544</v>
      </c>
      <c r="B3592" s="60" t="s">
        <v>120</v>
      </c>
      <c r="C3592" s="60">
        <v>120</v>
      </c>
      <c r="D3592" s="60">
        <v>105700</v>
      </c>
      <c r="E3592" s="60">
        <f t="shared" si="56"/>
        <v>-105700</v>
      </c>
    </row>
    <row r="3593" spans="1:5" x14ac:dyDescent="0.25">
      <c r="A3593" s="60">
        <v>544</v>
      </c>
      <c r="B3593" s="60" t="s">
        <v>120</v>
      </c>
      <c r="C3593" s="60">
        <v>130</v>
      </c>
      <c r="D3593" s="60">
        <v>0</v>
      </c>
      <c r="E3593" s="60">
        <f t="shared" si="56"/>
        <v>0</v>
      </c>
    </row>
    <row r="3594" spans="1:5" x14ac:dyDescent="0.25">
      <c r="A3594" s="60">
        <v>544</v>
      </c>
      <c r="B3594" s="60" t="s">
        <v>120</v>
      </c>
      <c r="C3594" s="60">
        <v>140</v>
      </c>
      <c r="D3594" s="60">
        <v>9803540</v>
      </c>
      <c r="E3594" s="60">
        <f t="shared" si="56"/>
        <v>-9803540</v>
      </c>
    </row>
    <row r="3595" spans="1:5" x14ac:dyDescent="0.25">
      <c r="A3595" s="60">
        <v>544</v>
      </c>
      <c r="B3595" s="60" t="s">
        <v>120</v>
      </c>
      <c r="C3595" s="60">
        <v>150</v>
      </c>
      <c r="D3595" s="60">
        <v>0</v>
      </c>
      <c r="E3595" s="60">
        <f t="shared" si="56"/>
        <v>0</v>
      </c>
    </row>
    <row r="3596" spans="1:5" x14ac:dyDescent="0.25">
      <c r="A3596" s="60">
        <v>544</v>
      </c>
      <c r="B3596" s="60" t="s">
        <v>120</v>
      </c>
      <c r="C3596" s="60">
        <v>200</v>
      </c>
      <c r="D3596" s="60">
        <v>130393</v>
      </c>
      <c r="E3596" s="60">
        <f t="shared" si="56"/>
        <v>-130393</v>
      </c>
    </row>
    <row r="3597" spans="1:5" x14ac:dyDescent="0.25">
      <c r="A3597" s="60">
        <v>544</v>
      </c>
      <c r="B3597" s="60" t="s">
        <v>120</v>
      </c>
      <c r="C3597" s="60">
        <v>210</v>
      </c>
      <c r="D3597" s="60">
        <v>0</v>
      </c>
      <c r="E3597" s="60">
        <f t="shared" si="56"/>
        <v>0</v>
      </c>
    </row>
    <row r="3598" spans="1:5" x14ac:dyDescent="0.25">
      <c r="A3598" s="60">
        <v>544</v>
      </c>
      <c r="B3598" s="60" t="s">
        <v>120</v>
      </c>
      <c r="C3598" s="60">
        <v>220</v>
      </c>
      <c r="D3598" s="60">
        <v>0</v>
      </c>
      <c r="E3598" s="60">
        <f t="shared" si="56"/>
        <v>0</v>
      </c>
    </row>
    <row r="3599" spans="1:5" x14ac:dyDescent="0.25">
      <c r="A3599" s="60">
        <v>544</v>
      </c>
      <c r="B3599" s="60" t="s">
        <v>120</v>
      </c>
      <c r="C3599" s="60">
        <v>230</v>
      </c>
      <c r="D3599" s="60">
        <v>43435</v>
      </c>
      <c r="E3599" s="60">
        <f t="shared" si="56"/>
        <v>-43435</v>
      </c>
    </row>
    <row r="3600" spans="1:5" x14ac:dyDescent="0.25">
      <c r="A3600" s="60">
        <v>544</v>
      </c>
      <c r="B3600" s="60" t="s">
        <v>120</v>
      </c>
      <c r="C3600" s="60">
        <v>270</v>
      </c>
      <c r="D3600" s="60">
        <v>0</v>
      </c>
      <c r="E3600" s="60">
        <f t="shared" si="56"/>
        <v>0</v>
      </c>
    </row>
    <row r="3601" spans="1:5" x14ac:dyDescent="0.25">
      <c r="A3601" s="60">
        <v>545</v>
      </c>
      <c r="B3601" s="60" t="s">
        <v>117</v>
      </c>
      <c r="C3601" s="60">
        <v>1</v>
      </c>
      <c r="D3601" s="60">
        <v>-103790</v>
      </c>
      <c r="E3601" s="60">
        <f t="shared" si="56"/>
        <v>-103790</v>
      </c>
    </row>
    <row r="3602" spans="1:5" x14ac:dyDescent="0.25">
      <c r="A3602" s="60">
        <v>545</v>
      </c>
      <c r="B3602" s="60" t="s">
        <v>117</v>
      </c>
      <c r="C3602" s="60">
        <v>10</v>
      </c>
      <c r="D3602" s="60">
        <v>25382900</v>
      </c>
      <c r="E3602" s="60">
        <f t="shared" si="56"/>
        <v>25382900</v>
      </c>
    </row>
    <row r="3603" spans="1:5" x14ac:dyDescent="0.25">
      <c r="A3603" s="60">
        <v>545</v>
      </c>
      <c r="B3603" s="60" t="s">
        <v>117</v>
      </c>
      <c r="C3603" s="60">
        <v>50</v>
      </c>
      <c r="D3603" s="60">
        <v>0</v>
      </c>
      <c r="E3603" s="60">
        <f t="shared" si="56"/>
        <v>0</v>
      </c>
    </row>
    <row r="3604" spans="1:5" x14ac:dyDescent="0.25">
      <c r="A3604" s="60">
        <v>545</v>
      </c>
      <c r="B3604" s="60" t="s">
        <v>117</v>
      </c>
      <c r="C3604" s="60">
        <v>70</v>
      </c>
      <c r="D3604" s="60">
        <v>0</v>
      </c>
      <c r="E3604" s="60">
        <f t="shared" si="56"/>
        <v>0</v>
      </c>
    </row>
    <row r="3605" spans="1:5" x14ac:dyDescent="0.25">
      <c r="A3605" s="60">
        <v>545</v>
      </c>
      <c r="B3605" s="60" t="s">
        <v>117</v>
      </c>
      <c r="C3605" s="60">
        <v>100</v>
      </c>
      <c r="D3605" s="60">
        <v>0</v>
      </c>
      <c r="E3605" s="60">
        <f t="shared" si="56"/>
        <v>0</v>
      </c>
    </row>
    <row r="3606" spans="1:5" x14ac:dyDescent="0.25">
      <c r="A3606" s="60">
        <v>545</v>
      </c>
      <c r="B3606" s="60" t="s">
        <v>117</v>
      </c>
      <c r="C3606" s="60">
        <v>110</v>
      </c>
      <c r="D3606" s="60">
        <v>4152460</v>
      </c>
      <c r="E3606" s="60">
        <f t="shared" si="56"/>
        <v>-4152460</v>
      </c>
    </row>
    <row r="3607" spans="1:5" x14ac:dyDescent="0.25">
      <c r="A3607" s="60">
        <v>545</v>
      </c>
      <c r="B3607" s="60" t="s">
        <v>117</v>
      </c>
      <c r="C3607" s="60">
        <v>130</v>
      </c>
      <c r="D3607" s="60">
        <v>110140</v>
      </c>
      <c r="E3607" s="60">
        <f t="shared" si="56"/>
        <v>-110140</v>
      </c>
    </row>
    <row r="3608" spans="1:5" x14ac:dyDescent="0.25">
      <c r="A3608" s="60">
        <v>545</v>
      </c>
      <c r="B3608" s="60" t="s">
        <v>117</v>
      </c>
      <c r="C3608" s="60">
        <v>140</v>
      </c>
      <c r="D3608" s="60">
        <v>15370700</v>
      </c>
      <c r="E3608" s="60">
        <f t="shared" si="56"/>
        <v>-15370700</v>
      </c>
    </row>
    <row r="3609" spans="1:5" x14ac:dyDescent="0.25">
      <c r="A3609" s="60">
        <v>545</v>
      </c>
      <c r="B3609" s="60" t="s">
        <v>117</v>
      </c>
      <c r="C3609" s="60">
        <v>141</v>
      </c>
      <c r="D3609" s="60">
        <v>53800</v>
      </c>
      <c r="E3609" s="60">
        <f t="shared" si="56"/>
        <v>-53800</v>
      </c>
    </row>
    <row r="3610" spans="1:5" x14ac:dyDescent="0.25">
      <c r="A3610" s="60">
        <v>545</v>
      </c>
      <c r="B3610" s="60" t="s">
        <v>117</v>
      </c>
      <c r="C3610" s="60">
        <v>200</v>
      </c>
      <c r="D3610" s="60">
        <v>125950</v>
      </c>
      <c r="E3610" s="60">
        <f t="shared" si="56"/>
        <v>-125950</v>
      </c>
    </row>
    <row r="3611" spans="1:5" x14ac:dyDescent="0.25">
      <c r="A3611" s="60">
        <v>545</v>
      </c>
      <c r="B3611" s="60" t="s">
        <v>117</v>
      </c>
      <c r="C3611" s="60">
        <v>210</v>
      </c>
      <c r="D3611" s="60">
        <v>157704</v>
      </c>
      <c r="E3611" s="60">
        <f t="shared" si="56"/>
        <v>-157704</v>
      </c>
    </row>
    <row r="3612" spans="1:5" x14ac:dyDescent="0.25">
      <c r="A3612" s="60">
        <v>545</v>
      </c>
      <c r="B3612" s="60" t="s">
        <v>117</v>
      </c>
      <c r="C3612" s="60">
        <v>220</v>
      </c>
      <c r="D3612" s="60">
        <v>0</v>
      </c>
      <c r="E3612" s="60">
        <f t="shared" si="56"/>
        <v>0</v>
      </c>
    </row>
    <row r="3613" spans="1:5" x14ac:dyDescent="0.25">
      <c r="A3613" s="60">
        <v>545</v>
      </c>
      <c r="B3613" s="60" t="s">
        <v>117</v>
      </c>
      <c r="C3613" s="60">
        <v>230</v>
      </c>
      <c r="D3613" s="60">
        <v>0</v>
      </c>
      <c r="E3613" s="60">
        <f t="shared" si="56"/>
        <v>0</v>
      </c>
    </row>
    <row r="3614" spans="1:5" x14ac:dyDescent="0.25">
      <c r="A3614" s="60">
        <v>545</v>
      </c>
      <c r="B3614" s="60" t="s">
        <v>117</v>
      </c>
      <c r="C3614" s="60">
        <v>270</v>
      </c>
      <c r="D3614" s="60">
        <v>0</v>
      </c>
      <c r="E3614" s="60">
        <f t="shared" si="56"/>
        <v>0</v>
      </c>
    </row>
    <row r="3615" spans="1:5" x14ac:dyDescent="0.25">
      <c r="A3615" s="60">
        <v>545</v>
      </c>
      <c r="B3615" s="60" t="s">
        <v>118</v>
      </c>
      <c r="C3615" s="60">
        <v>1</v>
      </c>
      <c r="D3615" s="60">
        <v>8177912</v>
      </c>
      <c r="E3615" s="60">
        <f t="shared" si="56"/>
        <v>8177912</v>
      </c>
    </row>
    <row r="3616" spans="1:5" x14ac:dyDescent="0.25">
      <c r="A3616" s="60">
        <v>545</v>
      </c>
      <c r="B3616" s="60" t="s">
        <v>118</v>
      </c>
      <c r="C3616" s="60">
        <v>10</v>
      </c>
      <c r="D3616" s="60">
        <v>14282700</v>
      </c>
      <c r="E3616" s="60">
        <f t="shared" si="56"/>
        <v>14282700</v>
      </c>
    </row>
    <row r="3617" spans="1:5" x14ac:dyDescent="0.25">
      <c r="A3617" s="60">
        <v>545</v>
      </c>
      <c r="B3617" s="60" t="s">
        <v>118</v>
      </c>
      <c r="C3617" s="60">
        <v>110</v>
      </c>
      <c r="D3617" s="60">
        <v>7111180</v>
      </c>
      <c r="E3617" s="60">
        <f t="shared" si="56"/>
        <v>-7111180</v>
      </c>
    </row>
    <row r="3618" spans="1:5" x14ac:dyDescent="0.25">
      <c r="A3618" s="60">
        <v>545</v>
      </c>
      <c r="B3618" s="60" t="s">
        <v>118</v>
      </c>
      <c r="C3618" s="60">
        <v>120</v>
      </c>
      <c r="D3618" s="60">
        <v>0</v>
      </c>
      <c r="E3618" s="60">
        <f t="shared" si="56"/>
        <v>0</v>
      </c>
    </row>
    <row r="3619" spans="1:5" x14ac:dyDescent="0.25">
      <c r="A3619" s="60">
        <v>545</v>
      </c>
      <c r="B3619" s="60" t="s">
        <v>118</v>
      </c>
      <c r="C3619" s="60">
        <v>140</v>
      </c>
      <c r="D3619" s="60">
        <v>1052620</v>
      </c>
      <c r="E3619" s="60">
        <f t="shared" si="56"/>
        <v>-1052620</v>
      </c>
    </row>
    <row r="3620" spans="1:5" x14ac:dyDescent="0.25">
      <c r="A3620" s="60">
        <v>545</v>
      </c>
      <c r="B3620" s="60" t="s">
        <v>118</v>
      </c>
      <c r="C3620" s="60">
        <v>200</v>
      </c>
      <c r="D3620" s="60">
        <v>70961</v>
      </c>
      <c r="E3620" s="60">
        <f t="shared" si="56"/>
        <v>-70961</v>
      </c>
    </row>
    <row r="3621" spans="1:5" x14ac:dyDescent="0.25">
      <c r="A3621" s="60">
        <v>545</v>
      </c>
      <c r="B3621" s="60" t="s">
        <v>118</v>
      </c>
      <c r="C3621" s="60">
        <v>230</v>
      </c>
      <c r="D3621" s="60">
        <v>118777</v>
      </c>
      <c r="E3621" s="60">
        <f t="shared" si="56"/>
        <v>-118777</v>
      </c>
    </row>
    <row r="3622" spans="1:5" x14ac:dyDescent="0.25">
      <c r="A3622" s="60">
        <v>545</v>
      </c>
      <c r="B3622" s="60" t="s">
        <v>118</v>
      </c>
      <c r="C3622" s="60">
        <v>270</v>
      </c>
      <c r="D3622" s="60">
        <v>0</v>
      </c>
      <c r="E3622" s="60">
        <f t="shared" si="56"/>
        <v>0</v>
      </c>
    </row>
    <row r="3623" spans="1:5" x14ac:dyDescent="0.25">
      <c r="A3623" s="60">
        <v>545</v>
      </c>
      <c r="B3623" s="60" t="s">
        <v>119</v>
      </c>
      <c r="C3623" s="60">
        <v>1</v>
      </c>
      <c r="D3623" s="60">
        <v>5570088</v>
      </c>
      <c r="E3623" s="60">
        <f t="shared" si="56"/>
        <v>5570088</v>
      </c>
    </row>
    <row r="3624" spans="1:5" x14ac:dyDescent="0.25">
      <c r="A3624" s="60">
        <v>545</v>
      </c>
      <c r="B3624" s="60" t="s">
        <v>119</v>
      </c>
      <c r="C3624" s="60">
        <v>10</v>
      </c>
      <c r="D3624" s="60">
        <v>7974200</v>
      </c>
      <c r="E3624" s="60">
        <f t="shared" si="56"/>
        <v>7974200</v>
      </c>
    </row>
    <row r="3625" spans="1:5" x14ac:dyDescent="0.25">
      <c r="A3625" s="60">
        <v>545</v>
      </c>
      <c r="B3625" s="60" t="s">
        <v>119</v>
      </c>
      <c r="C3625" s="60">
        <v>50</v>
      </c>
      <c r="D3625" s="60">
        <v>0</v>
      </c>
      <c r="E3625" s="60">
        <f t="shared" si="56"/>
        <v>0</v>
      </c>
    </row>
    <row r="3626" spans="1:5" x14ac:dyDescent="0.25">
      <c r="A3626" s="60">
        <v>545</v>
      </c>
      <c r="B3626" s="60" t="s">
        <v>119</v>
      </c>
      <c r="C3626" s="60">
        <v>70</v>
      </c>
      <c r="D3626" s="60">
        <v>-66028</v>
      </c>
      <c r="E3626" s="60">
        <f t="shared" si="56"/>
        <v>-66028</v>
      </c>
    </row>
    <row r="3627" spans="1:5" x14ac:dyDescent="0.25">
      <c r="A3627" s="60">
        <v>545</v>
      </c>
      <c r="B3627" s="60" t="s">
        <v>119</v>
      </c>
      <c r="C3627" s="60">
        <v>110</v>
      </c>
      <c r="D3627" s="60">
        <v>4943660</v>
      </c>
      <c r="E3627" s="60">
        <f t="shared" si="56"/>
        <v>-4943660</v>
      </c>
    </row>
    <row r="3628" spans="1:5" x14ac:dyDescent="0.25">
      <c r="A3628" s="60">
        <v>545</v>
      </c>
      <c r="B3628" s="60" t="s">
        <v>119</v>
      </c>
      <c r="C3628" s="60">
        <v>140</v>
      </c>
      <c r="D3628" s="60">
        <v>4674200</v>
      </c>
      <c r="E3628" s="60">
        <f t="shared" si="56"/>
        <v>-4674200</v>
      </c>
    </row>
    <row r="3629" spans="1:5" x14ac:dyDescent="0.25">
      <c r="A3629" s="60">
        <v>545</v>
      </c>
      <c r="B3629" s="60" t="s">
        <v>119</v>
      </c>
      <c r="C3629" s="60">
        <v>141</v>
      </c>
      <c r="D3629" s="60">
        <v>829860</v>
      </c>
      <c r="E3629" s="60">
        <f t="shared" si="56"/>
        <v>-829860</v>
      </c>
    </row>
    <row r="3630" spans="1:5" x14ac:dyDescent="0.25">
      <c r="A3630" s="60">
        <v>545</v>
      </c>
      <c r="B3630" s="60" t="s">
        <v>119</v>
      </c>
      <c r="C3630" s="60">
        <v>200</v>
      </c>
      <c r="D3630" s="60">
        <v>39672</v>
      </c>
      <c r="E3630" s="60">
        <f t="shared" si="56"/>
        <v>-39672</v>
      </c>
    </row>
    <row r="3631" spans="1:5" x14ac:dyDescent="0.25">
      <c r="A3631" s="60">
        <v>545</v>
      </c>
      <c r="B3631" s="60" t="s">
        <v>119</v>
      </c>
      <c r="C3631" s="60">
        <v>210</v>
      </c>
      <c r="D3631" s="60">
        <v>7556</v>
      </c>
      <c r="E3631" s="60">
        <f t="shared" si="56"/>
        <v>-7556</v>
      </c>
    </row>
    <row r="3632" spans="1:5" x14ac:dyDescent="0.25">
      <c r="A3632" s="60">
        <v>545</v>
      </c>
      <c r="B3632" s="60" t="s">
        <v>119</v>
      </c>
      <c r="C3632" s="60">
        <v>230</v>
      </c>
      <c r="D3632" s="60">
        <v>12537</v>
      </c>
      <c r="E3632" s="60">
        <f t="shared" si="56"/>
        <v>-12537</v>
      </c>
    </row>
    <row r="3633" spans="1:5" x14ac:dyDescent="0.25">
      <c r="A3633" s="60">
        <v>545</v>
      </c>
      <c r="B3633" s="60" t="s">
        <v>119</v>
      </c>
      <c r="C3633" s="60">
        <v>270</v>
      </c>
      <c r="D3633" s="60">
        <v>0</v>
      </c>
      <c r="E3633" s="60">
        <f t="shared" si="56"/>
        <v>0</v>
      </c>
    </row>
    <row r="3634" spans="1:5" x14ac:dyDescent="0.25">
      <c r="A3634" s="60">
        <v>545</v>
      </c>
      <c r="B3634" s="60" t="s">
        <v>120</v>
      </c>
      <c r="C3634" s="60">
        <v>1</v>
      </c>
      <c r="D3634" s="60">
        <v>2525666</v>
      </c>
      <c r="E3634" s="60">
        <f t="shared" si="56"/>
        <v>2525666</v>
      </c>
    </row>
    <row r="3635" spans="1:5" x14ac:dyDescent="0.25">
      <c r="A3635" s="60">
        <v>545</v>
      </c>
      <c r="B3635" s="60" t="s">
        <v>120</v>
      </c>
      <c r="C3635" s="60">
        <v>10</v>
      </c>
      <c r="D3635" s="60">
        <v>4192000</v>
      </c>
      <c r="E3635" s="60">
        <f t="shared" si="56"/>
        <v>4192000</v>
      </c>
    </row>
    <row r="3636" spans="1:5" x14ac:dyDescent="0.25">
      <c r="A3636" s="60">
        <v>545</v>
      </c>
      <c r="B3636" s="60" t="s">
        <v>120</v>
      </c>
      <c r="C3636" s="60">
        <v>20</v>
      </c>
      <c r="D3636" s="60">
        <v>0</v>
      </c>
      <c r="E3636" s="60">
        <f t="shared" si="56"/>
        <v>0</v>
      </c>
    </row>
    <row r="3637" spans="1:5" x14ac:dyDescent="0.25">
      <c r="A3637" s="60">
        <v>545</v>
      </c>
      <c r="B3637" s="60" t="s">
        <v>120</v>
      </c>
      <c r="C3637" s="60">
        <v>50</v>
      </c>
      <c r="D3637" s="60">
        <v>1820</v>
      </c>
      <c r="E3637" s="60">
        <f t="shared" si="56"/>
        <v>1820</v>
      </c>
    </row>
    <row r="3638" spans="1:5" x14ac:dyDescent="0.25">
      <c r="A3638" s="60">
        <v>545</v>
      </c>
      <c r="B3638" s="60" t="s">
        <v>120</v>
      </c>
      <c r="C3638" s="60">
        <v>70</v>
      </c>
      <c r="D3638" s="60">
        <v>13593</v>
      </c>
      <c r="E3638" s="60">
        <f t="shared" si="56"/>
        <v>13593</v>
      </c>
    </row>
    <row r="3639" spans="1:5" x14ac:dyDescent="0.25">
      <c r="A3639" s="60">
        <v>545</v>
      </c>
      <c r="B3639" s="60" t="s">
        <v>120</v>
      </c>
      <c r="C3639" s="60">
        <v>110</v>
      </c>
      <c r="D3639" s="60">
        <v>6666760</v>
      </c>
      <c r="E3639" s="60">
        <f t="shared" si="56"/>
        <v>-6666760</v>
      </c>
    </row>
    <row r="3640" spans="1:5" x14ac:dyDescent="0.25">
      <c r="A3640" s="60">
        <v>545</v>
      </c>
      <c r="B3640" s="60" t="s">
        <v>120</v>
      </c>
      <c r="C3640" s="60">
        <v>140</v>
      </c>
      <c r="D3640" s="60">
        <v>12020</v>
      </c>
      <c r="E3640" s="60">
        <f t="shared" si="56"/>
        <v>-12020</v>
      </c>
    </row>
    <row r="3641" spans="1:5" x14ac:dyDescent="0.25">
      <c r="A3641" s="60">
        <v>545</v>
      </c>
      <c r="B3641" s="60" t="s">
        <v>120</v>
      </c>
      <c r="C3641" s="60">
        <v>150</v>
      </c>
      <c r="D3641" s="60">
        <v>0</v>
      </c>
      <c r="E3641" s="60">
        <f t="shared" si="56"/>
        <v>0</v>
      </c>
    </row>
    <row r="3642" spans="1:5" x14ac:dyDescent="0.25">
      <c r="A3642" s="60">
        <v>545</v>
      </c>
      <c r="B3642" s="60" t="s">
        <v>120</v>
      </c>
      <c r="C3642" s="60">
        <v>200</v>
      </c>
      <c r="D3642" s="60">
        <v>40965</v>
      </c>
      <c r="E3642" s="60">
        <f t="shared" si="56"/>
        <v>-40965</v>
      </c>
    </row>
    <row r="3643" spans="1:5" x14ac:dyDescent="0.25">
      <c r="A3643" s="60">
        <v>545</v>
      </c>
      <c r="B3643" s="60" t="s">
        <v>120</v>
      </c>
      <c r="C3643" s="60">
        <v>220</v>
      </c>
      <c r="D3643" s="60">
        <v>8006</v>
      </c>
      <c r="E3643" s="60">
        <f t="shared" si="56"/>
        <v>-8006</v>
      </c>
    </row>
    <row r="3644" spans="1:5" x14ac:dyDescent="0.25">
      <c r="A3644" s="60">
        <v>545</v>
      </c>
      <c r="B3644" s="60" t="s">
        <v>120</v>
      </c>
      <c r="C3644" s="60">
        <v>230</v>
      </c>
      <c r="D3644" s="60">
        <v>5328</v>
      </c>
      <c r="E3644" s="60">
        <f t="shared" si="56"/>
        <v>-5328</v>
      </c>
    </row>
    <row r="3645" spans="1:5" x14ac:dyDescent="0.25">
      <c r="A3645" s="60">
        <v>546</v>
      </c>
      <c r="B3645" s="60" t="s">
        <v>117</v>
      </c>
      <c r="C3645" s="60">
        <v>1</v>
      </c>
      <c r="D3645" s="60">
        <v>948189</v>
      </c>
      <c r="E3645" s="60">
        <f t="shared" si="56"/>
        <v>948189</v>
      </c>
    </row>
    <row r="3646" spans="1:5" x14ac:dyDescent="0.25">
      <c r="A3646" s="60">
        <v>546</v>
      </c>
      <c r="B3646" s="60" t="s">
        <v>117</v>
      </c>
      <c r="C3646" s="60">
        <v>10</v>
      </c>
      <c r="D3646" s="60">
        <v>32050300</v>
      </c>
      <c r="E3646" s="60">
        <f t="shared" si="56"/>
        <v>32050300</v>
      </c>
    </row>
    <row r="3647" spans="1:5" x14ac:dyDescent="0.25">
      <c r="A3647" s="60">
        <v>546</v>
      </c>
      <c r="B3647" s="60" t="s">
        <v>117</v>
      </c>
      <c r="C3647" s="60">
        <v>20</v>
      </c>
      <c r="D3647" s="60">
        <v>133777</v>
      </c>
      <c r="E3647" s="60">
        <f t="shared" si="56"/>
        <v>133777</v>
      </c>
    </row>
    <row r="3648" spans="1:5" x14ac:dyDescent="0.25">
      <c r="A3648" s="60">
        <v>546</v>
      </c>
      <c r="B3648" s="60" t="s">
        <v>117</v>
      </c>
      <c r="C3648" s="60">
        <v>50</v>
      </c>
      <c r="D3648" s="60">
        <v>44800</v>
      </c>
      <c r="E3648" s="60">
        <f t="shared" si="56"/>
        <v>44800</v>
      </c>
    </row>
    <row r="3649" spans="1:5" x14ac:dyDescent="0.25">
      <c r="A3649" s="60">
        <v>546</v>
      </c>
      <c r="B3649" s="60" t="s">
        <v>117</v>
      </c>
      <c r="C3649" s="60">
        <v>70</v>
      </c>
      <c r="D3649" s="60">
        <v>0</v>
      </c>
      <c r="E3649" s="60">
        <f t="shared" si="56"/>
        <v>0</v>
      </c>
    </row>
    <row r="3650" spans="1:5" x14ac:dyDescent="0.25">
      <c r="A3650" s="60">
        <v>546</v>
      </c>
      <c r="B3650" s="60" t="s">
        <v>117</v>
      </c>
      <c r="C3650" s="60">
        <v>110</v>
      </c>
      <c r="D3650" s="60">
        <v>12985120</v>
      </c>
      <c r="E3650" s="60">
        <f t="shared" ref="E3650:E3713" si="57">IF(C3650&lt;100,D3650,D3650*-1)</f>
        <v>-12985120</v>
      </c>
    </row>
    <row r="3651" spans="1:5" x14ac:dyDescent="0.25">
      <c r="A3651" s="60">
        <v>546</v>
      </c>
      <c r="B3651" s="60" t="s">
        <v>117</v>
      </c>
      <c r="C3651" s="60">
        <v>140</v>
      </c>
      <c r="D3651" s="60">
        <v>18680180</v>
      </c>
      <c r="E3651" s="60">
        <f t="shared" si="57"/>
        <v>-18680180</v>
      </c>
    </row>
    <row r="3652" spans="1:5" x14ac:dyDescent="0.25">
      <c r="A3652" s="60">
        <v>546</v>
      </c>
      <c r="B3652" s="60" t="s">
        <v>117</v>
      </c>
      <c r="C3652" s="60">
        <v>141</v>
      </c>
      <c r="D3652" s="60">
        <v>1143680</v>
      </c>
      <c r="E3652" s="60">
        <f t="shared" si="57"/>
        <v>-1143680</v>
      </c>
    </row>
    <row r="3653" spans="1:5" x14ac:dyDescent="0.25">
      <c r="A3653" s="60">
        <v>546</v>
      </c>
      <c r="B3653" s="60" t="s">
        <v>117</v>
      </c>
      <c r="C3653" s="60">
        <v>150</v>
      </c>
      <c r="D3653" s="60">
        <v>0</v>
      </c>
      <c r="E3653" s="60">
        <f t="shared" si="57"/>
        <v>0</v>
      </c>
    </row>
    <row r="3654" spans="1:5" x14ac:dyDescent="0.25">
      <c r="A3654" s="60">
        <v>546</v>
      </c>
      <c r="B3654" s="60" t="s">
        <v>117</v>
      </c>
      <c r="C3654" s="60">
        <v>200</v>
      </c>
      <c r="D3654" s="60">
        <v>157091</v>
      </c>
      <c r="E3654" s="60">
        <f t="shared" si="57"/>
        <v>-157091</v>
      </c>
    </row>
    <row r="3655" spans="1:5" x14ac:dyDescent="0.25">
      <c r="A3655" s="60">
        <v>546</v>
      </c>
      <c r="B3655" s="60" t="s">
        <v>117</v>
      </c>
      <c r="C3655" s="60">
        <v>210</v>
      </c>
      <c r="D3655" s="60">
        <v>210995</v>
      </c>
      <c r="E3655" s="60">
        <f t="shared" si="57"/>
        <v>-210995</v>
      </c>
    </row>
    <row r="3656" spans="1:5" x14ac:dyDescent="0.25">
      <c r="A3656" s="60">
        <v>546</v>
      </c>
      <c r="B3656" s="60" t="s">
        <v>117</v>
      </c>
      <c r="C3656" s="60">
        <v>230</v>
      </c>
      <c r="D3656" s="60">
        <v>0</v>
      </c>
      <c r="E3656" s="60">
        <f t="shared" si="57"/>
        <v>0</v>
      </c>
    </row>
    <row r="3657" spans="1:5" x14ac:dyDescent="0.25">
      <c r="A3657" s="60">
        <v>546</v>
      </c>
      <c r="B3657" s="60" t="s">
        <v>117</v>
      </c>
      <c r="C3657" s="60">
        <v>270</v>
      </c>
      <c r="D3657" s="60">
        <v>0</v>
      </c>
      <c r="E3657" s="60">
        <f t="shared" si="57"/>
        <v>0</v>
      </c>
    </row>
    <row r="3658" spans="1:5" x14ac:dyDescent="0.25">
      <c r="A3658" s="60">
        <v>546</v>
      </c>
      <c r="B3658" s="60" t="s">
        <v>118</v>
      </c>
      <c r="C3658" s="60">
        <v>1</v>
      </c>
      <c r="D3658" s="60">
        <v>9536330</v>
      </c>
      <c r="E3658" s="60">
        <f t="shared" si="57"/>
        <v>9536330</v>
      </c>
    </row>
    <row r="3659" spans="1:5" x14ac:dyDescent="0.25">
      <c r="A3659" s="60">
        <v>546</v>
      </c>
      <c r="B3659" s="60" t="s">
        <v>118</v>
      </c>
      <c r="C3659" s="60">
        <v>10</v>
      </c>
      <c r="D3659" s="60">
        <v>16453760</v>
      </c>
      <c r="E3659" s="60">
        <f t="shared" si="57"/>
        <v>16453760</v>
      </c>
    </row>
    <row r="3660" spans="1:5" x14ac:dyDescent="0.25">
      <c r="A3660" s="60">
        <v>546</v>
      </c>
      <c r="B3660" s="60" t="s">
        <v>118</v>
      </c>
      <c r="C3660" s="60">
        <v>50</v>
      </c>
      <c r="D3660" s="60">
        <v>0</v>
      </c>
      <c r="E3660" s="60">
        <f t="shared" si="57"/>
        <v>0</v>
      </c>
    </row>
    <row r="3661" spans="1:5" x14ac:dyDescent="0.25">
      <c r="A3661" s="60">
        <v>546</v>
      </c>
      <c r="B3661" s="60" t="s">
        <v>118</v>
      </c>
      <c r="C3661" s="60">
        <v>110</v>
      </c>
      <c r="D3661" s="60">
        <v>9494371</v>
      </c>
      <c r="E3661" s="60">
        <f t="shared" si="57"/>
        <v>-9494371</v>
      </c>
    </row>
    <row r="3662" spans="1:5" x14ac:dyDescent="0.25">
      <c r="A3662" s="60">
        <v>546</v>
      </c>
      <c r="B3662" s="60" t="s">
        <v>118</v>
      </c>
      <c r="C3662" s="60">
        <v>120</v>
      </c>
      <c r="D3662" s="60">
        <v>0</v>
      </c>
      <c r="E3662" s="60">
        <f t="shared" si="57"/>
        <v>0</v>
      </c>
    </row>
    <row r="3663" spans="1:5" x14ac:dyDescent="0.25">
      <c r="A3663" s="60">
        <v>546</v>
      </c>
      <c r="B3663" s="60" t="s">
        <v>118</v>
      </c>
      <c r="C3663" s="60">
        <v>130</v>
      </c>
      <c r="D3663" s="60">
        <v>40180</v>
      </c>
      <c r="E3663" s="60">
        <f t="shared" si="57"/>
        <v>-40180</v>
      </c>
    </row>
    <row r="3664" spans="1:5" x14ac:dyDescent="0.25">
      <c r="A3664" s="60">
        <v>546</v>
      </c>
      <c r="B3664" s="60" t="s">
        <v>118</v>
      </c>
      <c r="C3664" s="60">
        <v>140</v>
      </c>
      <c r="D3664" s="60">
        <v>0</v>
      </c>
      <c r="E3664" s="60">
        <f t="shared" si="57"/>
        <v>0</v>
      </c>
    </row>
    <row r="3665" spans="1:8" x14ac:dyDescent="0.25">
      <c r="A3665" s="60">
        <v>546</v>
      </c>
      <c r="B3665" s="60" t="s">
        <v>118</v>
      </c>
      <c r="C3665" s="60">
        <v>141</v>
      </c>
      <c r="D3665" s="60">
        <v>1226460</v>
      </c>
      <c r="E3665" s="60">
        <f t="shared" si="57"/>
        <v>-1226460</v>
      </c>
    </row>
    <row r="3666" spans="1:8" x14ac:dyDescent="0.25">
      <c r="A3666" s="60">
        <v>546</v>
      </c>
      <c r="B3666" s="60" t="s">
        <v>118</v>
      </c>
      <c r="C3666" s="60">
        <v>150</v>
      </c>
      <c r="D3666" s="60">
        <v>281177</v>
      </c>
      <c r="E3666" s="60">
        <f t="shared" si="57"/>
        <v>-281177</v>
      </c>
    </row>
    <row r="3667" spans="1:8" x14ac:dyDescent="0.25">
      <c r="A3667" s="60">
        <v>546</v>
      </c>
      <c r="B3667" s="60" t="s">
        <v>118</v>
      </c>
      <c r="C3667" s="60">
        <v>160</v>
      </c>
      <c r="D3667" s="60">
        <v>0</v>
      </c>
      <c r="E3667" s="60">
        <f t="shared" si="57"/>
        <v>0</v>
      </c>
    </row>
    <row r="3668" spans="1:8" x14ac:dyDescent="0.25">
      <c r="A3668" s="60">
        <v>546</v>
      </c>
      <c r="B3668" s="60" t="s">
        <v>118</v>
      </c>
      <c r="C3668" s="60">
        <v>200</v>
      </c>
      <c r="D3668" s="60">
        <v>82170</v>
      </c>
      <c r="E3668" s="60">
        <f t="shared" si="57"/>
        <v>-82170</v>
      </c>
    </row>
    <row r="3669" spans="1:8" x14ac:dyDescent="0.25">
      <c r="A3669" s="60">
        <v>546</v>
      </c>
      <c r="B3669" s="60" t="s">
        <v>118</v>
      </c>
      <c r="C3669" s="60">
        <v>230</v>
      </c>
      <c r="D3669" s="60">
        <v>208130</v>
      </c>
      <c r="E3669" s="60">
        <f t="shared" si="57"/>
        <v>-208130</v>
      </c>
    </row>
    <row r="3670" spans="1:8" x14ac:dyDescent="0.25">
      <c r="A3670" s="60">
        <v>546</v>
      </c>
      <c r="B3670" s="60" t="s">
        <v>118</v>
      </c>
      <c r="C3670" s="60">
        <v>270</v>
      </c>
      <c r="D3670" s="60">
        <v>0</v>
      </c>
      <c r="E3670" s="60">
        <f t="shared" si="57"/>
        <v>0</v>
      </c>
    </row>
    <row r="3671" spans="1:8" x14ac:dyDescent="0.25">
      <c r="A3671" s="60">
        <v>546</v>
      </c>
      <c r="B3671" s="60" t="s">
        <v>119</v>
      </c>
      <c r="C3671" s="60">
        <v>10</v>
      </c>
      <c r="D3671" s="60">
        <v>7346780</v>
      </c>
      <c r="E3671" s="60">
        <f t="shared" si="57"/>
        <v>7346780</v>
      </c>
    </row>
    <row r="3672" spans="1:8" x14ac:dyDescent="0.25">
      <c r="A3672" s="60">
        <v>546</v>
      </c>
      <c r="B3672" s="60" t="s">
        <v>119</v>
      </c>
      <c r="C3672" s="60">
        <v>110</v>
      </c>
      <c r="D3672" s="60">
        <v>356560</v>
      </c>
      <c r="E3672" s="60">
        <f t="shared" si="57"/>
        <v>-356560</v>
      </c>
    </row>
    <row r="3673" spans="1:8" x14ac:dyDescent="0.25">
      <c r="A3673" s="60">
        <v>546</v>
      </c>
      <c r="B3673" s="60" t="s">
        <v>119</v>
      </c>
      <c r="C3673" s="60">
        <v>200</v>
      </c>
      <c r="D3673" s="60">
        <v>36734</v>
      </c>
      <c r="E3673" s="60">
        <f t="shared" si="57"/>
        <v>-36734</v>
      </c>
    </row>
    <row r="3674" spans="1:8" x14ac:dyDescent="0.25">
      <c r="A3674" s="60">
        <v>546</v>
      </c>
      <c r="B3674" s="60" t="s">
        <v>119</v>
      </c>
      <c r="C3674" s="60">
        <v>210</v>
      </c>
      <c r="D3674" s="60">
        <v>21771</v>
      </c>
      <c r="E3674" s="60">
        <f t="shared" si="57"/>
        <v>-21771</v>
      </c>
    </row>
    <row r="3675" spans="1:8" x14ac:dyDescent="0.25">
      <c r="A3675" s="60">
        <v>546</v>
      </c>
      <c r="B3675" s="60" t="s">
        <v>119</v>
      </c>
      <c r="C3675" s="60">
        <v>230</v>
      </c>
      <c r="D3675" s="60">
        <v>35821</v>
      </c>
      <c r="E3675" s="60">
        <f t="shared" si="57"/>
        <v>-35821</v>
      </c>
    </row>
    <row r="3676" spans="1:8" x14ac:dyDescent="0.25">
      <c r="A3676" s="60">
        <v>546</v>
      </c>
      <c r="B3676" s="60" t="s">
        <v>120</v>
      </c>
      <c r="C3676" s="60">
        <v>1</v>
      </c>
      <c r="D3676" s="60">
        <v>2704899</v>
      </c>
      <c r="E3676" s="60">
        <f t="shared" si="57"/>
        <v>2704899</v>
      </c>
    </row>
    <row r="3677" spans="1:8" x14ac:dyDescent="0.25">
      <c r="A3677" s="60">
        <v>546</v>
      </c>
      <c r="B3677" s="60" t="s">
        <v>120</v>
      </c>
      <c r="C3677" s="60">
        <v>10</v>
      </c>
      <c r="D3677" s="60">
        <v>5233280</v>
      </c>
      <c r="E3677" s="60">
        <f t="shared" si="57"/>
        <v>5233280</v>
      </c>
    </row>
    <row r="3678" spans="1:8" x14ac:dyDescent="0.25">
      <c r="A3678" s="60">
        <v>546</v>
      </c>
      <c r="B3678" s="60" t="s">
        <v>120</v>
      </c>
      <c r="C3678" s="60">
        <v>50</v>
      </c>
      <c r="D3678" s="60">
        <v>12020</v>
      </c>
      <c r="E3678" s="60">
        <f t="shared" si="57"/>
        <v>12020</v>
      </c>
    </row>
    <row r="3679" spans="1:8" ht="14.4" x14ac:dyDescent="0.3">
      <c r="A3679" s="96">
        <v>546</v>
      </c>
      <c r="B3679" s="97" t="s">
        <v>120</v>
      </c>
      <c r="C3679" s="98">
        <v>110</v>
      </c>
      <c r="D3679" s="99">
        <v>7247020</v>
      </c>
      <c r="E3679" s="60">
        <f t="shared" si="57"/>
        <v>-7247020</v>
      </c>
      <c r="F3679" s="97">
        <v>4</v>
      </c>
      <c r="G3679" s="97">
        <v>20</v>
      </c>
      <c r="H3679" s="100">
        <v>20000</v>
      </c>
    </row>
    <row r="3680" spans="1:8" x14ac:dyDescent="0.25">
      <c r="A3680" s="60">
        <v>546</v>
      </c>
      <c r="B3680" s="60" t="s">
        <v>120</v>
      </c>
      <c r="C3680" s="60">
        <v>120</v>
      </c>
      <c r="D3680" s="60">
        <v>6020</v>
      </c>
      <c r="E3680" s="60">
        <f t="shared" si="57"/>
        <v>-6020</v>
      </c>
      <c r="F3680" s="97"/>
      <c r="G3680" s="97"/>
      <c r="H3680" s="100"/>
    </row>
    <row r="3681" spans="1:8" x14ac:dyDescent="0.25">
      <c r="A3681" s="60">
        <v>546</v>
      </c>
      <c r="B3681" s="60" t="s">
        <v>120</v>
      </c>
      <c r="C3681" s="60">
        <v>130</v>
      </c>
      <c r="D3681" s="60">
        <v>18440</v>
      </c>
      <c r="E3681" s="60">
        <f t="shared" si="57"/>
        <v>-18440</v>
      </c>
      <c r="F3681" s="97">
        <v>2</v>
      </c>
      <c r="G3681" s="97">
        <v>10</v>
      </c>
      <c r="H3681" s="100">
        <v>30000</v>
      </c>
    </row>
    <row r="3682" spans="1:8" x14ac:dyDescent="0.25">
      <c r="A3682" s="60">
        <v>546</v>
      </c>
      <c r="B3682" s="60" t="s">
        <v>120</v>
      </c>
      <c r="C3682" s="60">
        <v>140</v>
      </c>
      <c r="D3682" s="60">
        <v>12220</v>
      </c>
      <c r="E3682" s="60">
        <f t="shared" si="57"/>
        <v>-12220</v>
      </c>
      <c r="F3682" s="97">
        <v>1</v>
      </c>
      <c r="G3682" s="97">
        <v>5</v>
      </c>
      <c r="H3682" s="100"/>
    </row>
    <row r="3683" spans="1:8" x14ac:dyDescent="0.25">
      <c r="A3683" s="60">
        <v>546</v>
      </c>
      <c r="B3683" s="60" t="s">
        <v>120</v>
      </c>
      <c r="C3683" s="60">
        <v>141</v>
      </c>
      <c r="D3683" s="60">
        <v>348240</v>
      </c>
      <c r="E3683" s="60">
        <f t="shared" si="57"/>
        <v>-348240</v>
      </c>
      <c r="F3683" s="97">
        <v>3</v>
      </c>
      <c r="G3683" s="97">
        <v>15</v>
      </c>
      <c r="H3683" s="100"/>
    </row>
    <row r="3684" spans="1:8" x14ac:dyDescent="0.25">
      <c r="A3684" s="60">
        <v>546</v>
      </c>
      <c r="B3684" s="60" t="s">
        <v>120</v>
      </c>
      <c r="C3684" s="60">
        <v>150</v>
      </c>
      <c r="D3684" s="60">
        <v>66720</v>
      </c>
      <c r="E3684" s="60">
        <f t="shared" si="57"/>
        <v>-66720</v>
      </c>
    </row>
    <row r="3685" spans="1:8" x14ac:dyDescent="0.25">
      <c r="A3685" s="60">
        <v>546</v>
      </c>
      <c r="B3685" s="60" t="s">
        <v>120</v>
      </c>
      <c r="C3685" s="60">
        <v>160</v>
      </c>
      <c r="D3685" s="60">
        <v>10080</v>
      </c>
      <c r="E3685" s="60">
        <f t="shared" si="57"/>
        <v>-10080</v>
      </c>
    </row>
    <row r="3686" spans="1:8" x14ac:dyDescent="0.25">
      <c r="A3686" s="60">
        <v>546</v>
      </c>
      <c r="B3686" s="60" t="s">
        <v>120</v>
      </c>
      <c r="C3686" s="60">
        <v>200</v>
      </c>
      <c r="D3686" s="60">
        <v>52333</v>
      </c>
      <c r="E3686" s="60">
        <f t="shared" si="57"/>
        <v>-52333</v>
      </c>
    </row>
    <row r="3687" spans="1:8" x14ac:dyDescent="0.25">
      <c r="A3687" s="60">
        <v>546</v>
      </c>
      <c r="B3687" s="60" t="s">
        <v>120</v>
      </c>
      <c r="C3687" s="60">
        <v>220</v>
      </c>
      <c r="D3687" s="60">
        <v>191822</v>
      </c>
      <c r="E3687" s="60">
        <f t="shared" si="57"/>
        <v>-191822</v>
      </c>
    </row>
    <row r="3688" spans="1:8" x14ac:dyDescent="0.25">
      <c r="A3688" s="60">
        <v>546</v>
      </c>
      <c r="B3688" s="60" t="s">
        <v>120</v>
      </c>
      <c r="C3688" s="60">
        <v>230</v>
      </c>
      <c r="D3688" s="60">
        <v>7384</v>
      </c>
      <c r="E3688" s="60">
        <f t="shared" si="57"/>
        <v>-7384</v>
      </c>
    </row>
    <row r="3689" spans="1:8" x14ac:dyDescent="0.25">
      <c r="A3689" s="60">
        <v>546</v>
      </c>
      <c r="B3689" s="60" t="s">
        <v>120</v>
      </c>
      <c r="C3689" s="60">
        <v>260</v>
      </c>
      <c r="D3689" s="60">
        <v>-10080</v>
      </c>
      <c r="E3689" s="60">
        <f t="shared" si="57"/>
        <v>10080</v>
      </c>
    </row>
    <row r="3690" spans="1:8" x14ac:dyDescent="0.25">
      <c r="A3690" s="60">
        <v>546</v>
      </c>
      <c r="B3690" s="60" t="s">
        <v>120</v>
      </c>
      <c r="C3690" s="60">
        <v>270</v>
      </c>
      <c r="D3690" s="60">
        <v>0</v>
      </c>
      <c r="E3690" s="60">
        <f t="shared" si="57"/>
        <v>0</v>
      </c>
    </row>
    <row r="3691" spans="1:8" x14ac:dyDescent="0.25">
      <c r="A3691" s="60">
        <v>547</v>
      </c>
      <c r="B3691" s="60" t="s">
        <v>117</v>
      </c>
      <c r="C3691" s="60">
        <v>1</v>
      </c>
      <c r="D3691" s="60">
        <v>1353225</v>
      </c>
      <c r="E3691" s="60">
        <f t="shared" si="57"/>
        <v>1353225</v>
      </c>
    </row>
    <row r="3692" spans="1:8" x14ac:dyDescent="0.25">
      <c r="A3692" s="60">
        <v>547</v>
      </c>
      <c r="B3692" s="60" t="s">
        <v>117</v>
      </c>
      <c r="C3692" s="60">
        <v>10</v>
      </c>
      <c r="D3692" s="60">
        <v>31430640</v>
      </c>
      <c r="E3692" s="60">
        <f t="shared" si="57"/>
        <v>31430640</v>
      </c>
    </row>
    <row r="3693" spans="1:8" x14ac:dyDescent="0.25">
      <c r="A3693" s="60">
        <v>547</v>
      </c>
      <c r="B3693" s="60" t="s">
        <v>117</v>
      </c>
      <c r="C3693" s="60">
        <v>20</v>
      </c>
      <c r="D3693" s="60">
        <v>455995</v>
      </c>
      <c r="E3693" s="60">
        <f t="shared" si="57"/>
        <v>455995</v>
      </c>
    </row>
    <row r="3694" spans="1:8" x14ac:dyDescent="0.25">
      <c r="A3694" s="60">
        <v>547</v>
      </c>
      <c r="B3694" s="60" t="s">
        <v>117</v>
      </c>
      <c r="C3694" s="60">
        <v>50</v>
      </c>
      <c r="D3694" s="60">
        <v>0</v>
      </c>
      <c r="E3694" s="60">
        <f t="shared" si="57"/>
        <v>0</v>
      </c>
    </row>
    <row r="3695" spans="1:8" x14ac:dyDescent="0.25">
      <c r="A3695" s="60">
        <v>547</v>
      </c>
      <c r="B3695" s="60" t="s">
        <v>117</v>
      </c>
      <c r="C3695" s="60">
        <v>110</v>
      </c>
      <c r="D3695" s="60">
        <v>5225160</v>
      </c>
      <c r="E3695" s="60">
        <f t="shared" si="57"/>
        <v>-5225160</v>
      </c>
    </row>
    <row r="3696" spans="1:8" x14ac:dyDescent="0.25">
      <c r="A3696" s="60">
        <v>547</v>
      </c>
      <c r="B3696" s="60" t="s">
        <v>117</v>
      </c>
      <c r="C3696" s="60">
        <v>140</v>
      </c>
      <c r="D3696" s="60">
        <v>27352940</v>
      </c>
      <c r="E3696" s="60">
        <f t="shared" si="57"/>
        <v>-27352940</v>
      </c>
    </row>
    <row r="3697" spans="1:5" x14ac:dyDescent="0.25">
      <c r="A3697" s="60">
        <v>547</v>
      </c>
      <c r="B3697" s="60" t="s">
        <v>117</v>
      </c>
      <c r="C3697" s="60">
        <v>141</v>
      </c>
      <c r="D3697" s="60">
        <v>273180</v>
      </c>
      <c r="E3697" s="60">
        <f t="shared" si="57"/>
        <v>-273180</v>
      </c>
    </row>
    <row r="3698" spans="1:5" x14ac:dyDescent="0.25">
      <c r="A3698" s="60">
        <v>547</v>
      </c>
      <c r="B3698" s="60" t="s">
        <v>117</v>
      </c>
      <c r="C3698" s="60">
        <v>200</v>
      </c>
      <c r="D3698" s="60">
        <v>154473</v>
      </c>
      <c r="E3698" s="60">
        <f t="shared" si="57"/>
        <v>-154473</v>
      </c>
    </row>
    <row r="3699" spans="1:5" x14ac:dyDescent="0.25">
      <c r="A3699" s="60">
        <v>547</v>
      </c>
      <c r="B3699" s="60" t="s">
        <v>117</v>
      </c>
      <c r="C3699" s="60">
        <v>210</v>
      </c>
      <c r="D3699" s="60">
        <v>200727</v>
      </c>
      <c r="E3699" s="60">
        <f t="shared" si="57"/>
        <v>-200727</v>
      </c>
    </row>
    <row r="3700" spans="1:5" x14ac:dyDescent="0.25">
      <c r="A3700" s="60">
        <v>547</v>
      </c>
      <c r="B3700" s="60" t="s">
        <v>117</v>
      </c>
      <c r="C3700" s="60">
        <v>230</v>
      </c>
      <c r="D3700" s="60">
        <v>0</v>
      </c>
      <c r="E3700" s="60">
        <f t="shared" si="57"/>
        <v>0</v>
      </c>
    </row>
    <row r="3701" spans="1:5" x14ac:dyDescent="0.25">
      <c r="A3701" s="60">
        <v>547</v>
      </c>
      <c r="B3701" s="60" t="s">
        <v>117</v>
      </c>
      <c r="C3701" s="60">
        <v>270</v>
      </c>
      <c r="D3701" s="60">
        <v>0</v>
      </c>
      <c r="E3701" s="60">
        <f t="shared" si="57"/>
        <v>0</v>
      </c>
    </row>
    <row r="3702" spans="1:5" x14ac:dyDescent="0.25">
      <c r="A3702" s="60">
        <v>547</v>
      </c>
      <c r="B3702" s="60" t="s">
        <v>118</v>
      </c>
      <c r="C3702" s="60">
        <v>1</v>
      </c>
      <c r="D3702" s="60">
        <v>18552881</v>
      </c>
      <c r="E3702" s="60">
        <f t="shared" si="57"/>
        <v>18552881</v>
      </c>
    </row>
    <row r="3703" spans="1:5" x14ac:dyDescent="0.25">
      <c r="A3703" s="60">
        <v>547</v>
      </c>
      <c r="B3703" s="60" t="s">
        <v>118</v>
      </c>
      <c r="C3703" s="60">
        <v>10</v>
      </c>
      <c r="D3703" s="60">
        <v>23029260</v>
      </c>
      <c r="E3703" s="60">
        <f t="shared" si="57"/>
        <v>23029260</v>
      </c>
    </row>
    <row r="3704" spans="1:5" x14ac:dyDescent="0.25">
      <c r="A3704" s="60">
        <v>547</v>
      </c>
      <c r="B3704" s="60" t="s">
        <v>118</v>
      </c>
      <c r="C3704" s="60">
        <v>20</v>
      </c>
      <c r="D3704" s="60">
        <v>0</v>
      </c>
      <c r="E3704" s="60">
        <f t="shared" si="57"/>
        <v>0</v>
      </c>
    </row>
    <row r="3705" spans="1:5" x14ac:dyDescent="0.25">
      <c r="A3705" s="60">
        <v>547</v>
      </c>
      <c r="B3705" s="60" t="s">
        <v>118</v>
      </c>
      <c r="C3705" s="60">
        <v>50</v>
      </c>
      <c r="D3705" s="60">
        <v>1041780</v>
      </c>
      <c r="E3705" s="60">
        <f t="shared" si="57"/>
        <v>1041780</v>
      </c>
    </row>
    <row r="3706" spans="1:5" x14ac:dyDescent="0.25">
      <c r="A3706" s="60">
        <v>547</v>
      </c>
      <c r="B3706" s="60" t="s">
        <v>118</v>
      </c>
      <c r="C3706" s="60">
        <v>70</v>
      </c>
      <c r="D3706" s="60">
        <v>92675</v>
      </c>
      <c r="E3706" s="60">
        <f t="shared" si="57"/>
        <v>92675</v>
      </c>
    </row>
    <row r="3707" spans="1:5" x14ac:dyDescent="0.25">
      <c r="A3707" s="60">
        <v>547</v>
      </c>
      <c r="B3707" s="60" t="s">
        <v>118</v>
      </c>
      <c r="C3707" s="60">
        <v>110</v>
      </c>
      <c r="D3707" s="60">
        <v>20120040</v>
      </c>
      <c r="E3707" s="60">
        <f t="shared" si="57"/>
        <v>-20120040</v>
      </c>
    </row>
    <row r="3708" spans="1:5" x14ac:dyDescent="0.25">
      <c r="A3708" s="60">
        <v>547</v>
      </c>
      <c r="B3708" s="60" t="s">
        <v>118</v>
      </c>
      <c r="C3708" s="60">
        <v>140</v>
      </c>
      <c r="D3708" s="60">
        <v>0</v>
      </c>
      <c r="E3708" s="60">
        <f t="shared" si="57"/>
        <v>0</v>
      </c>
    </row>
    <row r="3709" spans="1:5" x14ac:dyDescent="0.25">
      <c r="A3709" s="60">
        <v>547</v>
      </c>
      <c r="B3709" s="60" t="s">
        <v>118</v>
      </c>
      <c r="C3709" s="60">
        <v>141</v>
      </c>
      <c r="D3709" s="60">
        <v>1613560</v>
      </c>
      <c r="E3709" s="60">
        <f t="shared" si="57"/>
        <v>-1613560</v>
      </c>
    </row>
    <row r="3710" spans="1:5" x14ac:dyDescent="0.25">
      <c r="A3710" s="60">
        <v>547</v>
      </c>
      <c r="B3710" s="60" t="s">
        <v>118</v>
      </c>
      <c r="C3710" s="60">
        <v>200</v>
      </c>
      <c r="D3710" s="60">
        <v>115146</v>
      </c>
      <c r="E3710" s="60">
        <f t="shared" si="57"/>
        <v>-115146</v>
      </c>
    </row>
    <row r="3711" spans="1:5" x14ac:dyDescent="0.25">
      <c r="A3711" s="60">
        <v>547</v>
      </c>
      <c r="B3711" s="60" t="s">
        <v>118</v>
      </c>
      <c r="C3711" s="60">
        <v>230</v>
      </c>
      <c r="D3711" s="60">
        <v>203554</v>
      </c>
      <c r="E3711" s="60">
        <f t="shared" si="57"/>
        <v>-203554</v>
      </c>
    </row>
    <row r="3712" spans="1:5" x14ac:dyDescent="0.25">
      <c r="A3712" s="60">
        <v>547</v>
      </c>
      <c r="B3712" s="60" t="s">
        <v>118</v>
      </c>
      <c r="C3712" s="60">
        <v>270</v>
      </c>
      <c r="D3712" s="60">
        <v>0</v>
      </c>
      <c r="E3712" s="60">
        <f t="shared" si="57"/>
        <v>0</v>
      </c>
    </row>
    <row r="3713" spans="1:5" x14ac:dyDescent="0.25">
      <c r="A3713" s="60">
        <v>547</v>
      </c>
      <c r="B3713" s="60" t="s">
        <v>119</v>
      </c>
      <c r="C3713" s="60">
        <v>1</v>
      </c>
      <c r="D3713" s="60">
        <v>1532403</v>
      </c>
      <c r="E3713" s="60">
        <f t="shared" si="57"/>
        <v>1532403</v>
      </c>
    </row>
    <row r="3714" spans="1:5" x14ac:dyDescent="0.25">
      <c r="A3714" s="60">
        <v>547</v>
      </c>
      <c r="B3714" s="60" t="s">
        <v>119</v>
      </c>
      <c r="C3714" s="60">
        <v>10</v>
      </c>
      <c r="D3714" s="60">
        <v>8044900</v>
      </c>
      <c r="E3714" s="60">
        <f t="shared" ref="E3714:E3777" si="58">IF(C3714&lt;100,D3714,D3714*-1)</f>
        <v>8044900</v>
      </c>
    </row>
    <row r="3715" spans="1:5" x14ac:dyDescent="0.25">
      <c r="A3715" s="60">
        <v>547</v>
      </c>
      <c r="B3715" s="60" t="s">
        <v>119</v>
      </c>
      <c r="C3715" s="60">
        <v>20</v>
      </c>
      <c r="D3715" s="60">
        <v>68437</v>
      </c>
      <c r="E3715" s="60">
        <f t="shared" si="58"/>
        <v>68437</v>
      </c>
    </row>
    <row r="3716" spans="1:5" x14ac:dyDescent="0.25">
      <c r="A3716" s="60">
        <v>547</v>
      </c>
      <c r="B3716" s="60" t="s">
        <v>119</v>
      </c>
      <c r="C3716" s="60">
        <v>50</v>
      </c>
      <c r="D3716" s="60">
        <v>0</v>
      </c>
      <c r="E3716" s="60">
        <f t="shared" si="58"/>
        <v>0</v>
      </c>
    </row>
    <row r="3717" spans="1:5" x14ac:dyDescent="0.25">
      <c r="A3717" s="60">
        <v>547</v>
      </c>
      <c r="B3717" s="60" t="s">
        <v>119</v>
      </c>
      <c r="C3717" s="60">
        <v>110</v>
      </c>
      <c r="D3717" s="60">
        <v>3095000</v>
      </c>
      <c r="E3717" s="60">
        <f t="shared" si="58"/>
        <v>-3095000</v>
      </c>
    </row>
    <row r="3718" spans="1:5" x14ac:dyDescent="0.25">
      <c r="A3718" s="60">
        <v>547</v>
      </c>
      <c r="B3718" s="60" t="s">
        <v>119</v>
      </c>
      <c r="C3718" s="60">
        <v>140</v>
      </c>
      <c r="D3718" s="60">
        <v>49260</v>
      </c>
      <c r="E3718" s="60">
        <f t="shared" si="58"/>
        <v>-49260</v>
      </c>
    </row>
    <row r="3719" spans="1:5" x14ac:dyDescent="0.25">
      <c r="A3719" s="60">
        <v>547</v>
      </c>
      <c r="B3719" s="60" t="s">
        <v>119</v>
      </c>
      <c r="C3719" s="60">
        <v>200</v>
      </c>
      <c r="D3719" s="60">
        <v>39997</v>
      </c>
      <c r="E3719" s="60">
        <f t="shared" si="58"/>
        <v>-39997</v>
      </c>
    </row>
    <row r="3720" spans="1:5" x14ac:dyDescent="0.25">
      <c r="A3720" s="60">
        <v>547</v>
      </c>
      <c r="B3720" s="60" t="s">
        <v>119</v>
      </c>
      <c r="C3720" s="60">
        <v>210</v>
      </c>
      <c r="D3720" s="60">
        <v>33006</v>
      </c>
      <c r="E3720" s="60">
        <f t="shared" si="58"/>
        <v>-33006</v>
      </c>
    </row>
    <row r="3721" spans="1:5" x14ac:dyDescent="0.25">
      <c r="A3721" s="60">
        <v>547</v>
      </c>
      <c r="B3721" s="60" t="s">
        <v>119</v>
      </c>
      <c r="C3721" s="60">
        <v>230</v>
      </c>
      <c r="D3721" s="60">
        <v>19964</v>
      </c>
      <c r="E3721" s="60">
        <f t="shared" si="58"/>
        <v>-19964</v>
      </c>
    </row>
    <row r="3722" spans="1:5" x14ac:dyDescent="0.25">
      <c r="A3722" s="60">
        <v>547</v>
      </c>
      <c r="B3722" s="60" t="s">
        <v>119</v>
      </c>
      <c r="C3722" s="60">
        <v>270</v>
      </c>
      <c r="D3722" s="60">
        <v>0</v>
      </c>
      <c r="E3722" s="60">
        <f t="shared" si="58"/>
        <v>0</v>
      </c>
    </row>
    <row r="3723" spans="1:5" x14ac:dyDescent="0.25">
      <c r="A3723" s="60">
        <v>547</v>
      </c>
      <c r="B3723" s="60" t="s">
        <v>120</v>
      </c>
      <c r="C3723" s="60">
        <v>1</v>
      </c>
      <c r="D3723" s="60">
        <v>60138</v>
      </c>
      <c r="E3723" s="60">
        <f t="shared" si="58"/>
        <v>60138</v>
      </c>
    </row>
    <row r="3724" spans="1:5" x14ac:dyDescent="0.25">
      <c r="A3724" s="60">
        <v>547</v>
      </c>
      <c r="B3724" s="60" t="s">
        <v>120</v>
      </c>
      <c r="C3724" s="60">
        <v>10</v>
      </c>
      <c r="D3724" s="60">
        <v>2219540</v>
      </c>
      <c r="E3724" s="60">
        <f t="shared" si="58"/>
        <v>2219540</v>
      </c>
    </row>
    <row r="3725" spans="1:5" x14ac:dyDescent="0.25">
      <c r="A3725" s="60">
        <v>547</v>
      </c>
      <c r="B3725" s="60" t="s">
        <v>120</v>
      </c>
      <c r="C3725" s="60">
        <v>70</v>
      </c>
      <c r="D3725" s="60">
        <v>32542</v>
      </c>
      <c r="E3725" s="60">
        <f t="shared" si="58"/>
        <v>32542</v>
      </c>
    </row>
    <row r="3726" spans="1:5" x14ac:dyDescent="0.25">
      <c r="A3726" s="60">
        <v>547</v>
      </c>
      <c r="B3726" s="60" t="s">
        <v>120</v>
      </c>
      <c r="C3726" s="60">
        <v>110</v>
      </c>
      <c r="D3726" s="60">
        <v>1929200</v>
      </c>
      <c r="E3726" s="60">
        <f t="shared" si="58"/>
        <v>-1929200</v>
      </c>
    </row>
    <row r="3727" spans="1:5" x14ac:dyDescent="0.25">
      <c r="A3727" s="60">
        <v>547</v>
      </c>
      <c r="B3727" s="60" t="s">
        <v>120</v>
      </c>
      <c r="C3727" s="60">
        <v>120</v>
      </c>
      <c r="D3727" s="60">
        <v>2400</v>
      </c>
      <c r="E3727" s="60">
        <f t="shared" si="58"/>
        <v>-2400</v>
      </c>
    </row>
    <row r="3728" spans="1:5" x14ac:dyDescent="0.25">
      <c r="A3728" s="60">
        <v>547</v>
      </c>
      <c r="B3728" s="60" t="s">
        <v>120</v>
      </c>
      <c r="C3728" s="60">
        <v>140</v>
      </c>
      <c r="D3728" s="60">
        <v>92680</v>
      </c>
      <c r="E3728" s="60">
        <f t="shared" si="58"/>
        <v>-92680</v>
      </c>
    </row>
    <row r="3729" spans="1:5" x14ac:dyDescent="0.25">
      <c r="A3729" s="60">
        <v>547</v>
      </c>
      <c r="B3729" s="60" t="s">
        <v>120</v>
      </c>
      <c r="C3729" s="60">
        <v>150</v>
      </c>
      <c r="D3729" s="60">
        <v>21820</v>
      </c>
      <c r="E3729" s="60">
        <f t="shared" si="58"/>
        <v>-21820</v>
      </c>
    </row>
    <row r="3730" spans="1:5" x14ac:dyDescent="0.25">
      <c r="A3730" s="60">
        <v>547</v>
      </c>
      <c r="B3730" s="60" t="s">
        <v>120</v>
      </c>
      <c r="C3730" s="60">
        <v>200</v>
      </c>
      <c r="D3730" s="60">
        <v>22013</v>
      </c>
      <c r="E3730" s="60">
        <f t="shared" si="58"/>
        <v>-22013</v>
      </c>
    </row>
    <row r="3731" spans="1:5" x14ac:dyDescent="0.25">
      <c r="A3731" s="60">
        <v>547</v>
      </c>
      <c r="B3731" s="60" t="s">
        <v>120</v>
      </c>
      <c r="C3731" s="60">
        <v>220</v>
      </c>
      <c r="D3731" s="60">
        <v>0</v>
      </c>
      <c r="E3731" s="60">
        <f t="shared" si="58"/>
        <v>0</v>
      </c>
    </row>
    <row r="3732" spans="1:5" x14ac:dyDescent="0.25">
      <c r="A3732" s="60">
        <v>547</v>
      </c>
      <c r="B3732" s="60" t="s">
        <v>120</v>
      </c>
      <c r="C3732" s="60">
        <v>230</v>
      </c>
      <c r="D3732" s="60">
        <v>13698</v>
      </c>
      <c r="E3732" s="60">
        <f t="shared" si="58"/>
        <v>-13698</v>
      </c>
    </row>
    <row r="3733" spans="1:5" x14ac:dyDescent="0.25">
      <c r="A3733" s="60">
        <v>548</v>
      </c>
      <c r="B3733" s="60" t="s">
        <v>117</v>
      </c>
      <c r="C3733" s="60">
        <v>1</v>
      </c>
      <c r="D3733" s="60">
        <v>8177765</v>
      </c>
      <c r="E3733" s="60">
        <f t="shared" si="58"/>
        <v>8177765</v>
      </c>
    </row>
    <row r="3734" spans="1:5" x14ac:dyDescent="0.25">
      <c r="A3734" s="60">
        <v>548</v>
      </c>
      <c r="B3734" s="60" t="s">
        <v>117</v>
      </c>
      <c r="C3734" s="60">
        <v>10</v>
      </c>
      <c r="D3734" s="60">
        <v>23257260</v>
      </c>
      <c r="E3734" s="60">
        <f t="shared" si="58"/>
        <v>23257260</v>
      </c>
    </row>
    <row r="3735" spans="1:5" x14ac:dyDescent="0.25">
      <c r="A3735" s="60">
        <v>548</v>
      </c>
      <c r="B3735" s="60" t="s">
        <v>117</v>
      </c>
      <c r="C3735" s="60">
        <v>20</v>
      </c>
      <c r="D3735" s="60">
        <v>0</v>
      </c>
      <c r="E3735" s="60">
        <f t="shared" si="58"/>
        <v>0</v>
      </c>
    </row>
    <row r="3736" spans="1:5" x14ac:dyDescent="0.25">
      <c r="A3736" s="60">
        <v>548</v>
      </c>
      <c r="B3736" s="60" t="s">
        <v>117</v>
      </c>
      <c r="C3736" s="60">
        <v>50</v>
      </c>
      <c r="D3736" s="60">
        <v>11280</v>
      </c>
      <c r="E3736" s="60">
        <f t="shared" si="58"/>
        <v>11280</v>
      </c>
    </row>
    <row r="3737" spans="1:5" x14ac:dyDescent="0.25">
      <c r="A3737" s="60">
        <v>548</v>
      </c>
      <c r="B3737" s="60" t="s">
        <v>117</v>
      </c>
      <c r="C3737" s="60">
        <v>100</v>
      </c>
      <c r="D3737" s="60">
        <v>0</v>
      </c>
      <c r="E3737" s="60">
        <f t="shared" si="58"/>
        <v>0</v>
      </c>
    </row>
    <row r="3738" spans="1:5" x14ac:dyDescent="0.25">
      <c r="A3738" s="60">
        <v>548</v>
      </c>
      <c r="B3738" s="60" t="s">
        <v>117</v>
      </c>
      <c r="C3738" s="60">
        <v>110</v>
      </c>
      <c r="D3738" s="60">
        <v>9628140</v>
      </c>
      <c r="E3738" s="60">
        <f t="shared" si="58"/>
        <v>-9628140</v>
      </c>
    </row>
    <row r="3739" spans="1:5" x14ac:dyDescent="0.25">
      <c r="A3739" s="60">
        <v>548</v>
      </c>
      <c r="B3739" s="60" t="s">
        <v>117</v>
      </c>
      <c r="C3739" s="60">
        <v>130</v>
      </c>
      <c r="D3739" s="60">
        <v>615360</v>
      </c>
      <c r="E3739" s="60">
        <f t="shared" si="58"/>
        <v>-615360</v>
      </c>
    </row>
    <row r="3740" spans="1:5" x14ac:dyDescent="0.25">
      <c r="A3740" s="60">
        <v>548</v>
      </c>
      <c r="B3740" s="60" t="s">
        <v>117</v>
      </c>
      <c r="C3740" s="60">
        <v>140</v>
      </c>
      <c r="D3740" s="60">
        <v>16091460</v>
      </c>
      <c r="E3740" s="60">
        <f t="shared" si="58"/>
        <v>-16091460</v>
      </c>
    </row>
    <row r="3741" spans="1:5" x14ac:dyDescent="0.25">
      <c r="A3741" s="60">
        <v>548</v>
      </c>
      <c r="B3741" s="60" t="s">
        <v>117</v>
      </c>
      <c r="C3741" s="60">
        <v>141</v>
      </c>
      <c r="D3741" s="60">
        <v>282380</v>
      </c>
      <c r="E3741" s="60">
        <f t="shared" si="58"/>
        <v>-282380</v>
      </c>
    </row>
    <row r="3742" spans="1:5" x14ac:dyDescent="0.25">
      <c r="A3742" s="60">
        <v>548</v>
      </c>
      <c r="B3742" s="60" t="s">
        <v>117</v>
      </c>
      <c r="C3742" s="60">
        <v>200</v>
      </c>
      <c r="D3742" s="60">
        <v>113671</v>
      </c>
      <c r="E3742" s="60">
        <f t="shared" si="58"/>
        <v>-113671</v>
      </c>
    </row>
    <row r="3743" spans="1:5" x14ac:dyDescent="0.25">
      <c r="A3743" s="60">
        <v>548</v>
      </c>
      <c r="B3743" s="60" t="s">
        <v>117</v>
      </c>
      <c r="C3743" s="60">
        <v>210</v>
      </c>
      <c r="D3743" s="60">
        <v>183537</v>
      </c>
      <c r="E3743" s="60">
        <f t="shared" si="58"/>
        <v>-183537</v>
      </c>
    </row>
    <row r="3744" spans="1:5" x14ac:dyDescent="0.25">
      <c r="A3744" s="60">
        <v>548</v>
      </c>
      <c r="B3744" s="60" t="s">
        <v>117</v>
      </c>
      <c r="C3744" s="60">
        <v>230</v>
      </c>
      <c r="D3744" s="60">
        <v>0</v>
      </c>
      <c r="E3744" s="60">
        <f t="shared" si="58"/>
        <v>0</v>
      </c>
    </row>
    <row r="3745" spans="1:5" x14ac:dyDescent="0.25">
      <c r="A3745" s="60">
        <v>548</v>
      </c>
      <c r="B3745" s="60" t="s">
        <v>117</v>
      </c>
      <c r="C3745" s="60">
        <v>270</v>
      </c>
      <c r="D3745" s="60">
        <v>0</v>
      </c>
      <c r="E3745" s="60">
        <f t="shared" si="58"/>
        <v>0</v>
      </c>
    </row>
    <row r="3746" spans="1:5" x14ac:dyDescent="0.25">
      <c r="A3746" s="60">
        <v>548</v>
      </c>
      <c r="B3746" s="60" t="s">
        <v>118</v>
      </c>
      <c r="C3746" s="60">
        <v>0</v>
      </c>
      <c r="D3746" s="60">
        <v>380</v>
      </c>
      <c r="E3746" s="60">
        <f t="shared" si="58"/>
        <v>380</v>
      </c>
    </row>
    <row r="3747" spans="1:5" x14ac:dyDescent="0.25">
      <c r="A3747" s="60">
        <v>548</v>
      </c>
      <c r="B3747" s="60" t="s">
        <v>118</v>
      </c>
      <c r="C3747" s="60">
        <v>1</v>
      </c>
      <c r="D3747" s="60">
        <v>6280602</v>
      </c>
      <c r="E3747" s="60">
        <f t="shared" si="58"/>
        <v>6280602</v>
      </c>
    </row>
    <row r="3748" spans="1:5" x14ac:dyDescent="0.25">
      <c r="A3748" s="60">
        <v>548</v>
      </c>
      <c r="B3748" s="60" t="s">
        <v>118</v>
      </c>
      <c r="C3748" s="60">
        <v>10</v>
      </c>
      <c r="D3748" s="60">
        <v>8730580</v>
      </c>
      <c r="E3748" s="60">
        <f t="shared" si="58"/>
        <v>8730580</v>
      </c>
    </row>
    <row r="3749" spans="1:5" x14ac:dyDescent="0.25">
      <c r="A3749" s="60">
        <v>548</v>
      </c>
      <c r="B3749" s="60" t="s">
        <v>118</v>
      </c>
      <c r="C3749" s="60">
        <v>20</v>
      </c>
      <c r="D3749" s="60">
        <v>0</v>
      </c>
      <c r="E3749" s="60">
        <f t="shared" si="58"/>
        <v>0</v>
      </c>
    </row>
    <row r="3750" spans="1:5" x14ac:dyDescent="0.25">
      <c r="A3750" s="60">
        <v>548</v>
      </c>
      <c r="B3750" s="60" t="s">
        <v>118</v>
      </c>
      <c r="C3750" s="60">
        <v>50</v>
      </c>
      <c r="D3750" s="60">
        <v>0</v>
      </c>
      <c r="E3750" s="60">
        <f t="shared" si="58"/>
        <v>0</v>
      </c>
    </row>
    <row r="3751" spans="1:5" x14ac:dyDescent="0.25">
      <c r="A3751" s="60">
        <v>548</v>
      </c>
      <c r="B3751" s="60" t="s">
        <v>118</v>
      </c>
      <c r="C3751" s="60">
        <v>110</v>
      </c>
      <c r="D3751" s="60">
        <v>6887600</v>
      </c>
      <c r="E3751" s="60">
        <f t="shared" si="58"/>
        <v>-6887600</v>
      </c>
    </row>
    <row r="3752" spans="1:5" x14ac:dyDescent="0.25">
      <c r="A3752" s="60">
        <v>548</v>
      </c>
      <c r="B3752" s="60" t="s">
        <v>118</v>
      </c>
      <c r="C3752" s="60">
        <v>140</v>
      </c>
      <c r="D3752" s="60">
        <v>22180</v>
      </c>
      <c r="E3752" s="60">
        <f t="shared" si="58"/>
        <v>-22180</v>
      </c>
    </row>
    <row r="3753" spans="1:5" x14ac:dyDescent="0.25">
      <c r="A3753" s="60">
        <v>548</v>
      </c>
      <c r="B3753" s="60" t="s">
        <v>118</v>
      </c>
      <c r="C3753" s="60">
        <v>200</v>
      </c>
      <c r="D3753" s="60">
        <v>43653</v>
      </c>
      <c r="E3753" s="60">
        <f t="shared" si="58"/>
        <v>-43653</v>
      </c>
    </row>
    <row r="3754" spans="1:5" x14ac:dyDescent="0.25">
      <c r="A3754" s="60">
        <v>548</v>
      </c>
      <c r="B3754" s="60" t="s">
        <v>118</v>
      </c>
      <c r="C3754" s="60">
        <v>230</v>
      </c>
      <c r="D3754" s="60">
        <v>105898</v>
      </c>
      <c r="E3754" s="60">
        <f t="shared" si="58"/>
        <v>-105898</v>
      </c>
    </row>
    <row r="3755" spans="1:5" x14ac:dyDescent="0.25">
      <c r="A3755" s="60">
        <v>548</v>
      </c>
      <c r="B3755" s="60" t="s">
        <v>118</v>
      </c>
      <c r="C3755" s="60">
        <v>270</v>
      </c>
      <c r="D3755" s="60">
        <v>0</v>
      </c>
      <c r="E3755" s="60">
        <f t="shared" si="58"/>
        <v>0</v>
      </c>
    </row>
    <row r="3756" spans="1:5" x14ac:dyDescent="0.25">
      <c r="A3756" s="60">
        <v>548</v>
      </c>
      <c r="B3756" s="60" t="s">
        <v>119</v>
      </c>
      <c r="C3756" s="60">
        <v>1</v>
      </c>
      <c r="D3756" s="60">
        <v>2088572</v>
      </c>
      <c r="E3756" s="60">
        <f t="shared" si="58"/>
        <v>2088572</v>
      </c>
    </row>
    <row r="3757" spans="1:5" x14ac:dyDescent="0.25">
      <c r="A3757" s="60">
        <v>548</v>
      </c>
      <c r="B3757" s="60" t="s">
        <v>119</v>
      </c>
      <c r="C3757" s="60">
        <v>10</v>
      </c>
      <c r="D3757" s="60">
        <v>4120860</v>
      </c>
      <c r="E3757" s="60">
        <f t="shared" si="58"/>
        <v>4120860</v>
      </c>
    </row>
    <row r="3758" spans="1:5" x14ac:dyDescent="0.25">
      <c r="A3758" s="60">
        <v>548</v>
      </c>
      <c r="B3758" s="60" t="s">
        <v>119</v>
      </c>
      <c r="C3758" s="60">
        <v>20</v>
      </c>
      <c r="D3758" s="60">
        <v>44628</v>
      </c>
      <c r="E3758" s="60">
        <f t="shared" si="58"/>
        <v>44628</v>
      </c>
    </row>
    <row r="3759" spans="1:5" x14ac:dyDescent="0.25">
      <c r="A3759" s="60">
        <v>548</v>
      </c>
      <c r="B3759" s="60" t="s">
        <v>119</v>
      </c>
      <c r="C3759" s="60">
        <v>70</v>
      </c>
      <c r="D3759" s="60">
        <v>0</v>
      </c>
      <c r="E3759" s="60">
        <f t="shared" si="58"/>
        <v>0</v>
      </c>
    </row>
    <row r="3760" spans="1:5" x14ac:dyDescent="0.25">
      <c r="A3760" s="60">
        <v>548</v>
      </c>
      <c r="B3760" s="60" t="s">
        <v>119</v>
      </c>
      <c r="C3760" s="60">
        <v>110</v>
      </c>
      <c r="D3760" s="60">
        <v>806360</v>
      </c>
      <c r="E3760" s="60">
        <f t="shared" si="58"/>
        <v>-806360</v>
      </c>
    </row>
    <row r="3761" spans="1:5" x14ac:dyDescent="0.25">
      <c r="A3761" s="60">
        <v>548</v>
      </c>
      <c r="B3761" s="60" t="s">
        <v>119</v>
      </c>
      <c r="C3761" s="60">
        <v>140</v>
      </c>
      <c r="D3761" s="60">
        <v>0</v>
      </c>
      <c r="E3761" s="60">
        <f t="shared" si="58"/>
        <v>0</v>
      </c>
    </row>
    <row r="3762" spans="1:5" x14ac:dyDescent="0.25">
      <c r="A3762" s="60">
        <v>548</v>
      </c>
      <c r="B3762" s="60" t="s">
        <v>119</v>
      </c>
      <c r="C3762" s="60">
        <v>141</v>
      </c>
      <c r="D3762" s="60">
        <v>1861420</v>
      </c>
      <c r="E3762" s="60">
        <f t="shared" si="58"/>
        <v>-1861420</v>
      </c>
    </row>
    <row r="3763" spans="1:5" x14ac:dyDescent="0.25">
      <c r="A3763" s="60">
        <v>548</v>
      </c>
      <c r="B3763" s="60" t="s">
        <v>119</v>
      </c>
      <c r="C3763" s="60">
        <v>200</v>
      </c>
      <c r="D3763" s="60">
        <v>20604</v>
      </c>
      <c r="E3763" s="60">
        <f t="shared" si="58"/>
        <v>-20604</v>
      </c>
    </row>
    <row r="3764" spans="1:5" x14ac:dyDescent="0.25">
      <c r="A3764" s="60">
        <v>548</v>
      </c>
      <c r="B3764" s="60" t="s">
        <v>119</v>
      </c>
      <c r="C3764" s="60">
        <v>210</v>
      </c>
      <c r="D3764" s="60">
        <v>27341</v>
      </c>
      <c r="E3764" s="60">
        <f t="shared" si="58"/>
        <v>-27341</v>
      </c>
    </row>
    <row r="3765" spans="1:5" x14ac:dyDescent="0.25">
      <c r="A3765" s="60">
        <v>548</v>
      </c>
      <c r="B3765" s="60" t="s">
        <v>119</v>
      </c>
      <c r="C3765" s="60">
        <v>220</v>
      </c>
      <c r="D3765" s="60">
        <v>0</v>
      </c>
      <c r="E3765" s="60">
        <f t="shared" si="58"/>
        <v>0</v>
      </c>
    </row>
    <row r="3766" spans="1:5" x14ac:dyDescent="0.25">
      <c r="A3766" s="60">
        <v>548</v>
      </c>
      <c r="B3766" s="60" t="s">
        <v>119</v>
      </c>
      <c r="C3766" s="60">
        <v>230</v>
      </c>
      <c r="D3766" s="60">
        <v>3517</v>
      </c>
      <c r="E3766" s="60">
        <f t="shared" si="58"/>
        <v>-3517</v>
      </c>
    </row>
    <row r="3767" spans="1:5" x14ac:dyDescent="0.25">
      <c r="A3767" s="60">
        <v>548</v>
      </c>
      <c r="B3767" s="60" t="s">
        <v>119</v>
      </c>
      <c r="C3767" s="60">
        <v>270</v>
      </c>
      <c r="D3767" s="60">
        <v>0</v>
      </c>
      <c r="E3767" s="60">
        <f t="shared" si="58"/>
        <v>0</v>
      </c>
    </row>
    <row r="3768" spans="1:5" x14ac:dyDescent="0.25">
      <c r="A3768" s="60">
        <v>548</v>
      </c>
      <c r="B3768" s="60" t="s">
        <v>120</v>
      </c>
      <c r="C3768" s="60">
        <v>1</v>
      </c>
      <c r="D3768" s="60">
        <v>4102952</v>
      </c>
      <c r="E3768" s="60">
        <f t="shared" si="58"/>
        <v>4102952</v>
      </c>
    </row>
    <row r="3769" spans="1:5" x14ac:dyDescent="0.25">
      <c r="A3769" s="60">
        <v>548</v>
      </c>
      <c r="B3769" s="60" t="s">
        <v>120</v>
      </c>
      <c r="C3769" s="60">
        <v>10</v>
      </c>
      <c r="D3769" s="60">
        <v>5565360</v>
      </c>
      <c r="E3769" s="60">
        <f t="shared" si="58"/>
        <v>5565360</v>
      </c>
    </row>
    <row r="3770" spans="1:5" x14ac:dyDescent="0.25">
      <c r="A3770" s="60">
        <v>548</v>
      </c>
      <c r="B3770" s="60" t="s">
        <v>120</v>
      </c>
      <c r="C3770" s="60">
        <v>50</v>
      </c>
      <c r="D3770" s="60">
        <v>139540</v>
      </c>
      <c r="E3770" s="60">
        <f t="shared" si="58"/>
        <v>139540</v>
      </c>
    </row>
    <row r="3771" spans="1:5" x14ac:dyDescent="0.25">
      <c r="A3771" s="60">
        <v>548</v>
      </c>
      <c r="B3771" s="60" t="s">
        <v>120</v>
      </c>
      <c r="C3771" s="60">
        <v>70</v>
      </c>
      <c r="D3771" s="60">
        <v>-17772</v>
      </c>
      <c r="E3771" s="60">
        <f t="shared" si="58"/>
        <v>-17772</v>
      </c>
    </row>
    <row r="3772" spans="1:5" x14ac:dyDescent="0.25">
      <c r="A3772" s="60">
        <v>548</v>
      </c>
      <c r="B3772" s="60" t="s">
        <v>120</v>
      </c>
      <c r="C3772" s="60">
        <v>110</v>
      </c>
      <c r="D3772" s="60">
        <v>9530340</v>
      </c>
      <c r="E3772" s="60">
        <f t="shared" si="58"/>
        <v>-9530340</v>
      </c>
    </row>
    <row r="3773" spans="1:5" x14ac:dyDescent="0.25">
      <c r="A3773" s="60">
        <v>548</v>
      </c>
      <c r="B3773" s="60" t="s">
        <v>120</v>
      </c>
      <c r="C3773" s="60">
        <v>140</v>
      </c>
      <c r="D3773" s="60">
        <v>13640</v>
      </c>
      <c r="E3773" s="60">
        <f t="shared" si="58"/>
        <v>-13640</v>
      </c>
    </row>
    <row r="3774" spans="1:5" x14ac:dyDescent="0.25">
      <c r="A3774" s="60">
        <v>548</v>
      </c>
      <c r="B3774" s="60" t="s">
        <v>120</v>
      </c>
      <c r="C3774" s="60">
        <v>200</v>
      </c>
      <c r="D3774" s="60">
        <v>55654</v>
      </c>
      <c r="E3774" s="60">
        <f t="shared" si="58"/>
        <v>-55654</v>
      </c>
    </row>
    <row r="3775" spans="1:5" x14ac:dyDescent="0.25">
      <c r="A3775" s="60">
        <v>548</v>
      </c>
      <c r="B3775" s="60" t="s">
        <v>120</v>
      </c>
      <c r="C3775" s="60">
        <v>220</v>
      </c>
      <c r="D3775" s="60">
        <v>26718</v>
      </c>
      <c r="E3775" s="60">
        <f t="shared" si="58"/>
        <v>-26718</v>
      </c>
    </row>
    <row r="3776" spans="1:5" x14ac:dyDescent="0.25">
      <c r="A3776" s="60">
        <v>548</v>
      </c>
      <c r="B3776" s="60" t="s">
        <v>120</v>
      </c>
      <c r="C3776" s="60">
        <v>230</v>
      </c>
      <c r="D3776" s="60">
        <v>24188</v>
      </c>
      <c r="E3776" s="60">
        <f t="shared" si="58"/>
        <v>-24188</v>
      </c>
    </row>
    <row r="3777" spans="1:5" x14ac:dyDescent="0.25">
      <c r="A3777" s="60">
        <v>548</v>
      </c>
      <c r="B3777" s="60" t="s">
        <v>120</v>
      </c>
      <c r="C3777" s="60">
        <v>270</v>
      </c>
      <c r="D3777" s="60">
        <v>0</v>
      </c>
      <c r="E3777" s="60">
        <f t="shared" si="58"/>
        <v>0</v>
      </c>
    </row>
    <row r="3778" spans="1:5" x14ac:dyDescent="0.25">
      <c r="A3778" s="60">
        <v>549</v>
      </c>
      <c r="B3778" s="60" t="s">
        <v>117</v>
      </c>
      <c r="C3778" s="60">
        <v>1</v>
      </c>
      <c r="D3778" s="60">
        <v>394673</v>
      </c>
      <c r="E3778" s="60">
        <f t="shared" ref="E3778:E3841" si="59">IF(C3778&lt;100,D3778,D3778*-1)</f>
        <v>394673</v>
      </c>
    </row>
    <row r="3779" spans="1:5" x14ac:dyDescent="0.25">
      <c r="A3779" s="60">
        <v>549</v>
      </c>
      <c r="B3779" s="60" t="s">
        <v>117</v>
      </c>
      <c r="C3779" s="60">
        <v>10</v>
      </c>
      <c r="D3779" s="60">
        <v>18349500</v>
      </c>
      <c r="E3779" s="60">
        <f t="shared" si="59"/>
        <v>18349500</v>
      </c>
    </row>
    <row r="3780" spans="1:5" x14ac:dyDescent="0.25">
      <c r="A3780" s="60">
        <v>549</v>
      </c>
      <c r="B3780" s="60" t="s">
        <v>117</v>
      </c>
      <c r="C3780" s="60">
        <v>50</v>
      </c>
      <c r="D3780" s="60">
        <v>0</v>
      </c>
      <c r="E3780" s="60">
        <f t="shared" si="59"/>
        <v>0</v>
      </c>
    </row>
    <row r="3781" spans="1:5" x14ac:dyDescent="0.25">
      <c r="A3781" s="60">
        <v>549</v>
      </c>
      <c r="B3781" s="60" t="s">
        <v>117</v>
      </c>
      <c r="C3781" s="60">
        <v>110</v>
      </c>
      <c r="D3781" s="60">
        <v>6181180</v>
      </c>
      <c r="E3781" s="60">
        <f t="shared" si="59"/>
        <v>-6181180</v>
      </c>
    </row>
    <row r="3782" spans="1:5" x14ac:dyDescent="0.25">
      <c r="A3782" s="60">
        <v>549</v>
      </c>
      <c r="B3782" s="60" t="s">
        <v>117</v>
      </c>
      <c r="C3782" s="60">
        <v>140</v>
      </c>
      <c r="D3782" s="60">
        <v>12267560</v>
      </c>
      <c r="E3782" s="60">
        <f t="shared" si="59"/>
        <v>-12267560</v>
      </c>
    </row>
    <row r="3783" spans="1:5" x14ac:dyDescent="0.25">
      <c r="A3783" s="60">
        <v>549</v>
      </c>
      <c r="B3783" s="60" t="s">
        <v>117</v>
      </c>
      <c r="C3783" s="60">
        <v>200</v>
      </c>
      <c r="D3783" s="60">
        <v>91748</v>
      </c>
      <c r="E3783" s="60">
        <f t="shared" si="59"/>
        <v>-91748</v>
      </c>
    </row>
    <row r="3784" spans="1:5" x14ac:dyDescent="0.25">
      <c r="A3784" s="60">
        <v>549</v>
      </c>
      <c r="B3784" s="60" t="s">
        <v>117</v>
      </c>
      <c r="C3784" s="60">
        <v>210</v>
      </c>
      <c r="D3784" s="60">
        <v>76724</v>
      </c>
      <c r="E3784" s="60">
        <f t="shared" si="59"/>
        <v>-76724</v>
      </c>
    </row>
    <row r="3785" spans="1:5" x14ac:dyDescent="0.25">
      <c r="A3785" s="60">
        <v>549</v>
      </c>
      <c r="B3785" s="60" t="s">
        <v>117</v>
      </c>
      <c r="C3785" s="60">
        <v>220</v>
      </c>
      <c r="D3785" s="60">
        <v>126961</v>
      </c>
      <c r="E3785" s="60">
        <f t="shared" si="59"/>
        <v>-126961</v>
      </c>
    </row>
    <row r="3786" spans="1:5" x14ac:dyDescent="0.25">
      <c r="A3786" s="60">
        <v>549</v>
      </c>
      <c r="B3786" s="60" t="s">
        <v>117</v>
      </c>
      <c r="C3786" s="60">
        <v>230</v>
      </c>
      <c r="D3786" s="60">
        <v>0</v>
      </c>
      <c r="E3786" s="60">
        <f t="shared" si="59"/>
        <v>0</v>
      </c>
    </row>
    <row r="3787" spans="1:5" x14ac:dyDescent="0.25">
      <c r="A3787" s="60">
        <v>549</v>
      </c>
      <c r="B3787" s="60" t="s">
        <v>117</v>
      </c>
      <c r="C3787" s="60">
        <v>270</v>
      </c>
      <c r="D3787" s="60">
        <v>0</v>
      </c>
      <c r="E3787" s="60">
        <f t="shared" si="59"/>
        <v>0</v>
      </c>
    </row>
    <row r="3788" spans="1:5" x14ac:dyDescent="0.25">
      <c r="A3788" s="60">
        <v>549</v>
      </c>
      <c r="B3788" s="60" t="s">
        <v>118</v>
      </c>
      <c r="C3788" s="60">
        <v>0</v>
      </c>
      <c r="D3788" s="60">
        <v>-140</v>
      </c>
      <c r="E3788" s="60">
        <f t="shared" si="59"/>
        <v>-140</v>
      </c>
    </row>
    <row r="3789" spans="1:5" x14ac:dyDescent="0.25">
      <c r="A3789" s="60">
        <v>549</v>
      </c>
      <c r="B3789" s="60" t="s">
        <v>118</v>
      </c>
      <c r="C3789" s="60">
        <v>1</v>
      </c>
      <c r="D3789" s="60">
        <v>9453812</v>
      </c>
      <c r="E3789" s="60">
        <f t="shared" si="59"/>
        <v>9453812</v>
      </c>
    </row>
    <row r="3790" spans="1:5" x14ac:dyDescent="0.25">
      <c r="A3790" s="60">
        <v>549</v>
      </c>
      <c r="B3790" s="60" t="s">
        <v>118</v>
      </c>
      <c r="C3790" s="60">
        <v>10</v>
      </c>
      <c r="D3790" s="60">
        <v>8125840</v>
      </c>
      <c r="E3790" s="60">
        <f t="shared" si="59"/>
        <v>8125840</v>
      </c>
    </row>
    <row r="3791" spans="1:5" x14ac:dyDescent="0.25">
      <c r="A3791" s="60">
        <v>549</v>
      </c>
      <c r="B3791" s="60" t="s">
        <v>118</v>
      </c>
      <c r="C3791" s="60">
        <v>50</v>
      </c>
      <c r="D3791" s="60">
        <v>22200</v>
      </c>
      <c r="E3791" s="60">
        <f t="shared" si="59"/>
        <v>22200</v>
      </c>
    </row>
    <row r="3792" spans="1:5" x14ac:dyDescent="0.25">
      <c r="A3792" s="60">
        <v>549</v>
      </c>
      <c r="B3792" s="60" t="s">
        <v>118</v>
      </c>
      <c r="C3792" s="60">
        <v>110</v>
      </c>
      <c r="D3792" s="60">
        <v>9526840</v>
      </c>
      <c r="E3792" s="60">
        <f t="shared" si="59"/>
        <v>-9526840</v>
      </c>
    </row>
    <row r="3793" spans="1:5" x14ac:dyDescent="0.25">
      <c r="A3793" s="60">
        <v>549</v>
      </c>
      <c r="B3793" s="60" t="s">
        <v>118</v>
      </c>
      <c r="C3793" s="60">
        <v>140</v>
      </c>
      <c r="D3793" s="60">
        <v>4240</v>
      </c>
      <c r="E3793" s="60">
        <f t="shared" si="59"/>
        <v>-4240</v>
      </c>
    </row>
    <row r="3794" spans="1:5" x14ac:dyDescent="0.25">
      <c r="A3794" s="60">
        <v>549</v>
      </c>
      <c r="B3794" s="60" t="s">
        <v>118</v>
      </c>
      <c r="C3794" s="60">
        <v>200</v>
      </c>
      <c r="D3794" s="60">
        <v>40629</v>
      </c>
      <c r="E3794" s="60">
        <f t="shared" si="59"/>
        <v>-40629</v>
      </c>
    </row>
    <row r="3795" spans="1:5" x14ac:dyDescent="0.25">
      <c r="A3795" s="60">
        <v>549</v>
      </c>
      <c r="B3795" s="60" t="s">
        <v>118</v>
      </c>
      <c r="C3795" s="60">
        <v>220</v>
      </c>
      <c r="D3795" s="60">
        <v>0</v>
      </c>
      <c r="E3795" s="60">
        <f t="shared" si="59"/>
        <v>0</v>
      </c>
    </row>
    <row r="3796" spans="1:5" x14ac:dyDescent="0.25">
      <c r="A3796" s="60">
        <v>549</v>
      </c>
      <c r="B3796" s="60" t="s">
        <v>118</v>
      </c>
      <c r="C3796" s="60">
        <v>230</v>
      </c>
      <c r="D3796" s="60">
        <v>103565</v>
      </c>
      <c r="E3796" s="60">
        <f t="shared" si="59"/>
        <v>-103565</v>
      </c>
    </row>
    <row r="3797" spans="1:5" x14ac:dyDescent="0.25">
      <c r="A3797" s="60">
        <v>549</v>
      </c>
      <c r="B3797" s="60" t="s">
        <v>118</v>
      </c>
      <c r="C3797" s="60">
        <v>270</v>
      </c>
      <c r="D3797" s="60">
        <v>0</v>
      </c>
      <c r="E3797" s="60">
        <f t="shared" si="59"/>
        <v>0</v>
      </c>
    </row>
    <row r="3798" spans="1:5" x14ac:dyDescent="0.25">
      <c r="A3798" s="60">
        <v>550</v>
      </c>
      <c r="B3798" s="60" t="s">
        <v>117</v>
      </c>
      <c r="C3798" s="60">
        <v>1</v>
      </c>
      <c r="D3798" s="60">
        <v>4082436</v>
      </c>
      <c r="E3798" s="60">
        <f t="shared" si="59"/>
        <v>4082436</v>
      </c>
    </row>
    <row r="3799" spans="1:5" x14ac:dyDescent="0.25">
      <c r="A3799" s="60">
        <v>550</v>
      </c>
      <c r="B3799" s="60" t="s">
        <v>117</v>
      </c>
      <c r="C3799" s="60">
        <v>10</v>
      </c>
      <c r="D3799" s="60">
        <v>5899820</v>
      </c>
      <c r="E3799" s="60">
        <f t="shared" si="59"/>
        <v>5899820</v>
      </c>
    </row>
    <row r="3800" spans="1:5" x14ac:dyDescent="0.25">
      <c r="A3800" s="60">
        <v>550</v>
      </c>
      <c r="B3800" s="60" t="s">
        <v>117</v>
      </c>
      <c r="C3800" s="60">
        <v>110</v>
      </c>
      <c r="D3800" s="60">
        <v>222460</v>
      </c>
      <c r="E3800" s="60">
        <f t="shared" si="59"/>
        <v>-222460</v>
      </c>
    </row>
    <row r="3801" spans="1:5" x14ac:dyDescent="0.25">
      <c r="A3801" s="60">
        <v>550</v>
      </c>
      <c r="B3801" s="60" t="s">
        <v>117</v>
      </c>
      <c r="C3801" s="60">
        <v>140</v>
      </c>
      <c r="D3801" s="60">
        <v>0</v>
      </c>
      <c r="E3801" s="60">
        <f t="shared" si="59"/>
        <v>0</v>
      </c>
    </row>
    <row r="3802" spans="1:5" x14ac:dyDescent="0.25">
      <c r="A3802" s="60">
        <v>550</v>
      </c>
      <c r="B3802" s="60" t="s">
        <v>117</v>
      </c>
      <c r="C3802" s="60">
        <v>141</v>
      </c>
      <c r="D3802" s="60">
        <v>1122740</v>
      </c>
      <c r="E3802" s="60">
        <f t="shared" si="59"/>
        <v>-1122740</v>
      </c>
    </row>
    <row r="3803" spans="1:5" x14ac:dyDescent="0.25">
      <c r="A3803" s="60">
        <v>550</v>
      </c>
      <c r="B3803" s="60" t="s">
        <v>117</v>
      </c>
      <c r="C3803" s="60">
        <v>200</v>
      </c>
      <c r="D3803" s="60">
        <v>29240</v>
      </c>
      <c r="E3803" s="60">
        <f t="shared" si="59"/>
        <v>-29240</v>
      </c>
    </row>
    <row r="3804" spans="1:5" x14ac:dyDescent="0.25">
      <c r="A3804" s="60">
        <v>550</v>
      </c>
      <c r="B3804" s="60" t="s">
        <v>117</v>
      </c>
      <c r="C3804" s="60">
        <v>210</v>
      </c>
      <c r="D3804" s="60">
        <v>22911</v>
      </c>
      <c r="E3804" s="60">
        <f t="shared" si="59"/>
        <v>-22911</v>
      </c>
    </row>
    <row r="3805" spans="1:5" x14ac:dyDescent="0.25">
      <c r="A3805" s="60">
        <v>550</v>
      </c>
      <c r="B3805" s="60" t="s">
        <v>117</v>
      </c>
      <c r="C3805" s="60">
        <v>270</v>
      </c>
      <c r="D3805" s="60">
        <v>0</v>
      </c>
      <c r="E3805" s="60">
        <f t="shared" si="59"/>
        <v>0</v>
      </c>
    </row>
    <row r="3806" spans="1:5" x14ac:dyDescent="0.25">
      <c r="A3806" s="60">
        <v>550</v>
      </c>
      <c r="B3806" s="60" t="s">
        <v>118</v>
      </c>
      <c r="C3806" s="60">
        <v>1</v>
      </c>
      <c r="D3806" s="60">
        <v>2841641</v>
      </c>
      <c r="E3806" s="60">
        <f t="shared" si="59"/>
        <v>2841641</v>
      </c>
    </row>
    <row r="3807" spans="1:5" x14ac:dyDescent="0.25">
      <c r="A3807" s="60">
        <v>550</v>
      </c>
      <c r="B3807" s="60" t="s">
        <v>118</v>
      </c>
      <c r="C3807" s="60">
        <v>10</v>
      </c>
      <c r="D3807" s="60">
        <v>5209220</v>
      </c>
      <c r="E3807" s="60">
        <f t="shared" si="59"/>
        <v>5209220</v>
      </c>
    </row>
    <row r="3808" spans="1:5" x14ac:dyDescent="0.25">
      <c r="A3808" s="60">
        <v>550</v>
      </c>
      <c r="B3808" s="60" t="s">
        <v>118</v>
      </c>
      <c r="C3808" s="60">
        <v>20</v>
      </c>
      <c r="D3808" s="60">
        <v>0</v>
      </c>
      <c r="E3808" s="60">
        <f t="shared" si="59"/>
        <v>0</v>
      </c>
    </row>
    <row r="3809" spans="1:5" x14ac:dyDescent="0.25">
      <c r="A3809" s="60">
        <v>550</v>
      </c>
      <c r="B3809" s="60" t="s">
        <v>118</v>
      </c>
      <c r="C3809" s="60">
        <v>50</v>
      </c>
      <c r="D3809" s="60">
        <v>4100</v>
      </c>
      <c r="E3809" s="60">
        <f t="shared" si="59"/>
        <v>4100</v>
      </c>
    </row>
    <row r="3810" spans="1:5" x14ac:dyDescent="0.25">
      <c r="A3810" s="60">
        <v>550</v>
      </c>
      <c r="B3810" s="60" t="s">
        <v>118</v>
      </c>
      <c r="C3810" s="60">
        <v>110</v>
      </c>
      <c r="D3810" s="60">
        <v>2911480</v>
      </c>
      <c r="E3810" s="60">
        <f t="shared" si="59"/>
        <v>-2911480</v>
      </c>
    </row>
    <row r="3811" spans="1:5" x14ac:dyDescent="0.25">
      <c r="A3811" s="60">
        <v>550</v>
      </c>
      <c r="B3811" s="60" t="s">
        <v>118</v>
      </c>
      <c r="C3811" s="60">
        <v>140</v>
      </c>
      <c r="D3811" s="60">
        <v>0</v>
      </c>
      <c r="E3811" s="60">
        <f t="shared" si="59"/>
        <v>0</v>
      </c>
    </row>
    <row r="3812" spans="1:5" x14ac:dyDescent="0.25">
      <c r="A3812" s="60">
        <v>550</v>
      </c>
      <c r="B3812" s="60" t="s">
        <v>118</v>
      </c>
      <c r="C3812" s="60">
        <v>141</v>
      </c>
      <c r="D3812" s="60">
        <v>2093120</v>
      </c>
      <c r="E3812" s="60">
        <f t="shared" si="59"/>
        <v>-2093120</v>
      </c>
    </row>
    <row r="3813" spans="1:5" x14ac:dyDescent="0.25">
      <c r="A3813" s="60">
        <v>550</v>
      </c>
      <c r="B3813" s="60" t="s">
        <v>118</v>
      </c>
      <c r="C3813" s="60">
        <v>200</v>
      </c>
      <c r="D3813" s="60">
        <v>26046</v>
      </c>
      <c r="E3813" s="60">
        <f t="shared" si="59"/>
        <v>-26046</v>
      </c>
    </row>
    <row r="3814" spans="1:5" x14ac:dyDescent="0.25">
      <c r="A3814" s="60">
        <v>550</v>
      </c>
      <c r="B3814" s="60" t="s">
        <v>118</v>
      </c>
      <c r="C3814" s="60">
        <v>230</v>
      </c>
      <c r="D3814" s="60">
        <v>115207</v>
      </c>
      <c r="E3814" s="60">
        <f t="shared" si="59"/>
        <v>-115207</v>
      </c>
    </row>
    <row r="3815" spans="1:5" x14ac:dyDescent="0.25">
      <c r="A3815" s="60">
        <v>550</v>
      </c>
      <c r="B3815" s="60" t="s">
        <v>118</v>
      </c>
      <c r="C3815" s="60">
        <v>270</v>
      </c>
      <c r="D3815" s="60">
        <v>0</v>
      </c>
      <c r="E3815" s="60">
        <f t="shared" si="59"/>
        <v>0</v>
      </c>
    </row>
    <row r="3816" spans="1:5" x14ac:dyDescent="0.25">
      <c r="A3816" s="60">
        <v>550</v>
      </c>
      <c r="B3816" s="60" t="s">
        <v>119</v>
      </c>
      <c r="C3816" s="60">
        <v>1</v>
      </c>
      <c r="D3816" s="60">
        <v>1626847</v>
      </c>
      <c r="E3816" s="60">
        <f t="shared" si="59"/>
        <v>1626847</v>
      </c>
    </row>
    <row r="3817" spans="1:5" x14ac:dyDescent="0.25">
      <c r="A3817" s="60">
        <v>550</v>
      </c>
      <c r="B3817" s="60" t="s">
        <v>119</v>
      </c>
      <c r="C3817" s="60">
        <v>10</v>
      </c>
      <c r="D3817" s="60">
        <v>1650260</v>
      </c>
      <c r="E3817" s="60">
        <f t="shared" si="59"/>
        <v>1650260</v>
      </c>
    </row>
    <row r="3818" spans="1:5" x14ac:dyDescent="0.25">
      <c r="A3818" s="60">
        <v>550</v>
      </c>
      <c r="B3818" s="60" t="s">
        <v>119</v>
      </c>
      <c r="C3818" s="60">
        <v>70</v>
      </c>
      <c r="D3818" s="60">
        <v>0</v>
      </c>
      <c r="E3818" s="60">
        <f t="shared" si="59"/>
        <v>0</v>
      </c>
    </row>
    <row r="3819" spans="1:5" x14ac:dyDescent="0.25">
      <c r="A3819" s="60">
        <v>550</v>
      </c>
      <c r="B3819" s="60" t="s">
        <v>119</v>
      </c>
      <c r="C3819" s="60">
        <v>110</v>
      </c>
      <c r="D3819" s="60">
        <v>0</v>
      </c>
      <c r="E3819" s="60">
        <f t="shared" si="59"/>
        <v>0</v>
      </c>
    </row>
    <row r="3820" spans="1:5" x14ac:dyDescent="0.25">
      <c r="A3820" s="60">
        <v>550</v>
      </c>
      <c r="B3820" s="60" t="s">
        <v>119</v>
      </c>
      <c r="C3820" s="60">
        <v>140</v>
      </c>
      <c r="D3820" s="60">
        <v>0</v>
      </c>
      <c r="E3820" s="60">
        <f t="shared" si="59"/>
        <v>0</v>
      </c>
    </row>
    <row r="3821" spans="1:5" x14ac:dyDescent="0.25">
      <c r="A3821" s="60">
        <v>550</v>
      </c>
      <c r="B3821" s="60" t="s">
        <v>119</v>
      </c>
      <c r="C3821" s="60">
        <v>141</v>
      </c>
      <c r="D3821" s="60">
        <v>1091820</v>
      </c>
      <c r="E3821" s="60">
        <f t="shared" si="59"/>
        <v>-1091820</v>
      </c>
    </row>
    <row r="3822" spans="1:5" x14ac:dyDescent="0.25">
      <c r="A3822" s="60">
        <v>550</v>
      </c>
      <c r="B3822" s="60" t="s">
        <v>119</v>
      </c>
      <c r="C3822" s="60">
        <v>200</v>
      </c>
      <c r="D3822" s="60">
        <v>8251</v>
      </c>
      <c r="E3822" s="60">
        <f t="shared" si="59"/>
        <v>-8251</v>
      </c>
    </row>
    <row r="3823" spans="1:5" x14ac:dyDescent="0.25">
      <c r="A3823" s="60">
        <v>550</v>
      </c>
      <c r="B3823" s="60" t="s">
        <v>119</v>
      </c>
      <c r="C3823" s="60">
        <v>210</v>
      </c>
      <c r="D3823" s="60">
        <v>7742</v>
      </c>
      <c r="E3823" s="60">
        <f t="shared" si="59"/>
        <v>-7742</v>
      </c>
    </row>
    <row r="3824" spans="1:5" x14ac:dyDescent="0.25">
      <c r="A3824" s="60">
        <v>550</v>
      </c>
      <c r="B3824" s="60" t="s">
        <v>119</v>
      </c>
      <c r="C3824" s="60">
        <v>230</v>
      </c>
      <c r="D3824" s="60">
        <v>712</v>
      </c>
      <c r="E3824" s="60">
        <f t="shared" si="59"/>
        <v>-712</v>
      </c>
    </row>
    <row r="3825" spans="1:5" x14ac:dyDescent="0.25">
      <c r="A3825" s="60">
        <v>550</v>
      </c>
      <c r="B3825" s="60" t="s">
        <v>119</v>
      </c>
      <c r="C3825" s="60">
        <v>270</v>
      </c>
      <c r="D3825" s="60">
        <v>0</v>
      </c>
      <c r="E3825" s="60">
        <f t="shared" si="59"/>
        <v>0</v>
      </c>
    </row>
    <row r="3826" spans="1:5" x14ac:dyDescent="0.25">
      <c r="A3826" s="60">
        <v>550</v>
      </c>
      <c r="B3826" s="60" t="s">
        <v>120</v>
      </c>
      <c r="C3826" s="60">
        <v>1</v>
      </c>
      <c r="D3826" s="60">
        <v>5242031</v>
      </c>
      <c r="E3826" s="60">
        <f t="shared" si="59"/>
        <v>5242031</v>
      </c>
    </row>
    <row r="3827" spans="1:5" x14ac:dyDescent="0.25">
      <c r="A3827" s="60">
        <v>550</v>
      </c>
      <c r="B3827" s="60" t="s">
        <v>120</v>
      </c>
      <c r="C3827" s="60">
        <v>10</v>
      </c>
      <c r="D3827" s="60">
        <v>3742700</v>
      </c>
      <c r="E3827" s="60">
        <f t="shared" si="59"/>
        <v>3742700</v>
      </c>
    </row>
    <row r="3828" spans="1:5" x14ac:dyDescent="0.25">
      <c r="A3828" s="60">
        <v>550</v>
      </c>
      <c r="B3828" s="60" t="s">
        <v>120</v>
      </c>
      <c r="C3828" s="60">
        <v>50</v>
      </c>
      <c r="D3828" s="60">
        <v>13700</v>
      </c>
      <c r="E3828" s="60">
        <f t="shared" si="59"/>
        <v>13700</v>
      </c>
    </row>
    <row r="3829" spans="1:5" x14ac:dyDescent="0.25">
      <c r="A3829" s="60">
        <v>550</v>
      </c>
      <c r="B3829" s="60" t="s">
        <v>120</v>
      </c>
      <c r="C3829" s="60">
        <v>110</v>
      </c>
      <c r="D3829" s="60">
        <v>6409180</v>
      </c>
      <c r="E3829" s="60">
        <f t="shared" si="59"/>
        <v>-6409180</v>
      </c>
    </row>
    <row r="3830" spans="1:5" x14ac:dyDescent="0.25">
      <c r="A3830" s="60">
        <v>550</v>
      </c>
      <c r="B3830" s="60" t="s">
        <v>120</v>
      </c>
      <c r="C3830" s="60">
        <v>140</v>
      </c>
      <c r="D3830" s="60">
        <v>1036020</v>
      </c>
      <c r="E3830" s="60">
        <f t="shared" si="59"/>
        <v>-1036020</v>
      </c>
    </row>
    <row r="3831" spans="1:5" x14ac:dyDescent="0.25">
      <c r="A3831" s="60">
        <v>550</v>
      </c>
      <c r="B3831" s="60" t="s">
        <v>120</v>
      </c>
      <c r="C3831" s="60">
        <v>200</v>
      </c>
      <c r="D3831" s="60">
        <v>37427</v>
      </c>
      <c r="E3831" s="60">
        <f t="shared" si="59"/>
        <v>-37427</v>
      </c>
    </row>
    <row r="3832" spans="1:5" x14ac:dyDescent="0.25">
      <c r="A3832" s="60">
        <v>550</v>
      </c>
      <c r="B3832" s="60" t="s">
        <v>120</v>
      </c>
      <c r="C3832" s="60">
        <v>220</v>
      </c>
      <c r="D3832" s="60">
        <v>0</v>
      </c>
      <c r="E3832" s="60">
        <f t="shared" si="59"/>
        <v>0</v>
      </c>
    </row>
    <row r="3833" spans="1:5" x14ac:dyDescent="0.25">
      <c r="A3833" s="60">
        <v>550</v>
      </c>
      <c r="B3833" s="60" t="s">
        <v>120</v>
      </c>
      <c r="C3833" s="60">
        <v>230</v>
      </c>
      <c r="D3833" s="60">
        <v>5395</v>
      </c>
      <c r="E3833" s="60">
        <f t="shared" si="59"/>
        <v>-5395</v>
      </c>
    </row>
    <row r="3834" spans="1:5" x14ac:dyDescent="0.25">
      <c r="A3834" s="60">
        <v>550</v>
      </c>
      <c r="B3834" s="60" t="s">
        <v>120</v>
      </c>
      <c r="C3834" s="60">
        <v>270</v>
      </c>
      <c r="D3834" s="60">
        <v>0</v>
      </c>
      <c r="E3834" s="60">
        <f t="shared" si="59"/>
        <v>0</v>
      </c>
    </row>
    <row r="3835" spans="1:5" x14ac:dyDescent="0.25">
      <c r="A3835" s="60">
        <v>551</v>
      </c>
      <c r="B3835" s="60" t="s">
        <v>117</v>
      </c>
      <c r="C3835" s="60">
        <v>1</v>
      </c>
      <c r="D3835" s="60">
        <v>38573171</v>
      </c>
      <c r="E3835" s="60">
        <f t="shared" si="59"/>
        <v>38573171</v>
      </c>
    </row>
    <row r="3836" spans="1:5" x14ac:dyDescent="0.25">
      <c r="A3836" s="60">
        <v>551</v>
      </c>
      <c r="B3836" s="60" t="s">
        <v>117</v>
      </c>
      <c r="C3836" s="60">
        <v>10</v>
      </c>
      <c r="D3836" s="60">
        <v>28799980</v>
      </c>
      <c r="E3836" s="60">
        <f t="shared" si="59"/>
        <v>28799980</v>
      </c>
    </row>
    <row r="3837" spans="1:5" x14ac:dyDescent="0.25">
      <c r="A3837" s="60">
        <v>551</v>
      </c>
      <c r="B3837" s="60" t="s">
        <v>117</v>
      </c>
      <c r="C3837" s="60">
        <v>110</v>
      </c>
      <c r="D3837" s="60">
        <v>5186420</v>
      </c>
      <c r="E3837" s="60">
        <f t="shared" si="59"/>
        <v>-5186420</v>
      </c>
    </row>
    <row r="3838" spans="1:5" x14ac:dyDescent="0.25">
      <c r="A3838" s="60">
        <v>551</v>
      </c>
      <c r="B3838" s="60" t="s">
        <v>117</v>
      </c>
      <c r="C3838" s="60">
        <v>120</v>
      </c>
      <c r="D3838" s="60">
        <v>5600</v>
      </c>
      <c r="E3838" s="60">
        <f t="shared" si="59"/>
        <v>-5600</v>
      </c>
    </row>
    <row r="3839" spans="1:5" x14ac:dyDescent="0.25">
      <c r="A3839" s="60">
        <v>551</v>
      </c>
      <c r="B3839" s="60" t="s">
        <v>117</v>
      </c>
      <c r="C3839" s="60">
        <v>130</v>
      </c>
      <c r="D3839" s="60">
        <v>0</v>
      </c>
      <c r="E3839" s="60">
        <f t="shared" si="59"/>
        <v>0</v>
      </c>
    </row>
    <row r="3840" spans="1:5" x14ac:dyDescent="0.25">
      <c r="A3840" s="60">
        <v>551</v>
      </c>
      <c r="B3840" s="60" t="s">
        <v>117</v>
      </c>
      <c r="C3840" s="60">
        <v>140</v>
      </c>
      <c r="D3840" s="60">
        <v>23506080</v>
      </c>
      <c r="E3840" s="60">
        <f t="shared" si="59"/>
        <v>-23506080</v>
      </c>
    </row>
    <row r="3841" spans="1:5" x14ac:dyDescent="0.25">
      <c r="A3841" s="60">
        <v>551</v>
      </c>
      <c r="B3841" s="60" t="s">
        <v>117</v>
      </c>
      <c r="C3841" s="60">
        <v>141</v>
      </c>
      <c r="D3841" s="60">
        <v>11733560</v>
      </c>
      <c r="E3841" s="60">
        <f t="shared" si="59"/>
        <v>-11733560</v>
      </c>
    </row>
    <row r="3842" spans="1:5" x14ac:dyDescent="0.25">
      <c r="A3842" s="60">
        <v>551</v>
      </c>
      <c r="B3842" s="60" t="s">
        <v>117</v>
      </c>
      <c r="C3842" s="60">
        <v>150</v>
      </c>
      <c r="D3842" s="60">
        <v>60420</v>
      </c>
      <c r="E3842" s="60">
        <f t="shared" ref="E3842:E3905" si="60">IF(C3842&lt;100,D3842,D3842*-1)</f>
        <v>-60420</v>
      </c>
    </row>
    <row r="3843" spans="1:5" x14ac:dyDescent="0.25">
      <c r="A3843" s="60">
        <v>551</v>
      </c>
      <c r="B3843" s="60" t="s">
        <v>117</v>
      </c>
      <c r="C3843" s="60">
        <v>200</v>
      </c>
      <c r="D3843" s="60">
        <v>143508</v>
      </c>
      <c r="E3843" s="60">
        <f t="shared" si="60"/>
        <v>-143508</v>
      </c>
    </row>
    <row r="3844" spans="1:5" x14ac:dyDescent="0.25">
      <c r="A3844" s="60">
        <v>551</v>
      </c>
      <c r="B3844" s="60" t="s">
        <v>117</v>
      </c>
      <c r="C3844" s="60">
        <v>210</v>
      </c>
      <c r="D3844" s="60">
        <v>252254</v>
      </c>
      <c r="E3844" s="60">
        <f t="shared" si="60"/>
        <v>-252254</v>
      </c>
    </row>
    <row r="3845" spans="1:5" x14ac:dyDescent="0.25">
      <c r="A3845" s="60">
        <v>551</v>
      </c>
      <c r="B3845" s="60" t="s">
        <v>117</v>
      </c>
      <c r="C3845" s="60">
        <v>230</v>
      </c>
      <c r="D3845" s="60">
        <v>0</v>
      </c>
      <c r="E3845" s="60">
        <f t="shared" si="60"/>
        <v>0</v>
      </c>
    </row>
    <row r="3846" spans="1:5" x14ac:dyDescent="0.25">
      <c r="A3846" s="60">
        <v>551</v>
      </c>
      <c r="B3846" s="60" t="s">
        <v>117</v>
      </c>
      <c r="C3846" s="60">
        <v>270</v>
      </c>
      <c r="D3846" s="60">
        <v>0</v>
      </c>
      <c r="E3846" s="60">
        <f t="shared" si="60"/>
        <v>0</v>
      </c>
    </row>
    <row r="3847" spans="1:5" x14ac:dyDescent="0.25">
      <c r="A3847" s="60">
        <v>551</v>
      </c>
      <c r="B3847" s="60" t="s">
        <v>118</v>
      </c>
      <c r="C3847" s="60">
        <v>1</v>
      </c>
      <c r="D3847" s="60">
        <v>2814746</v>
      </c>
      <c r="E3847" s="60">
        <f t="shared" si="60"/>
        <v>2814746</v>
      </c>
    </row>
    <row r="3848" spans="1:5" x14ac:dyDescent="0.25">
      <c r="A3848" s="60">
        <v>551</v>
      </c>
      <c r="B3848" s="60" t="s">
        <v>118</v>
      </c>
      <c r="C3848" s="60">
        <v>10</v>
      </c>
      <c r="D3848" s="60">
        <v>9325900</v>
      </c>
      <c r="E3848" s="60">
        <f t="shared" si="60"/>
        <v>9325900</v>
      </c>
    </row>
    <row r="3849" spans="1:5" x14ac:dyDescent="0.25">
      <c r="A3849" s="60">
        <v>551</v>
      </c>
      <c r="B3849" s="60" t="s">
        <v>118</v>
      </c>
      <c r="C3849" s="60">
        <v>50</v>
      </c>
      <c r="D3849" s="60">
        <v>694720</v>
      </c>
      <c r="E3849" s="60">
        <f t="shared" si="60"/>
        <v>694720</v>
      </c>
    </row>
    <row r="3850" spans="1:5" x14ac:dyDescent="0.25">
      <c r="A3850" s="60">
        <v>551</v>
      </c>
      <c r="B3850" s="60" t="s">
        <v>118</v>
      </c>
      <c r="C3850" s="60">
        <v>110</v>
      </c>
      <c r="D3850" s="60">
        <v>3968596</v>
      </c>
      <c r="E3850" s="60">
        <f t="shared" si="60"/>
        <v>-3968596</v>
      </c>
    </row>
    <row r="3851" spans="1:5" x14ac:dyDescent="0.25">
      <c r="A3851" s="60">
        <v>551</v>
      </c>
      <c r="B3851" s="60" t="s">
        <v>118</v>
      </c>
      <c r="C3851" s="60">
        <v>120</v>
      </c>
      <c r="D3851" s="60">
        <v>0</v>
      </c>
      <c r="E3851" s="60">
        <f t="shared" si="60"/>
        <v>0</v>
      </c>
    </row>
    <row r="3852" spans="1:5" x14ac:dyDescent="0.25">
      <c r="A3852" s="60">
        <v>551</v>
      </c>
      <c r="B3852" s="60" t="s">
        <v>118</v>
      </c>
      <c r="C3852" s="60">
        <v>130</v>
      </c>
      <c r="D3852" s="60">
        <v>286304</v>
      </c>
      <c r="E3852" s="60">
        <f t="shared" si="60"/>
        <v>-286304</v>
      </c>
    </row>
    <row r="3853" spans="1:5" x14ac:dyDescent="0.25">
      <c r="A3853" s="60">
        <v>551</v>
      </c>
      <c r="B3853" s="60" t="s">
        <v>118</v>
      </c>
      <c r="C3853" s="60">
        <v>140</v>
      </c>
      <c r="D3853" s="60">
        <v>0</v>
      </c>
      <c r="E3853" s="60">
        <f t="shared" si="60"/>
        <v>0</v>
      </c>
    </row>
    <row r="3854" spans="1:5" x14ac:dyDescent="0.25">
      <c r="A3854" s="60">
        <v>551</v>
      </c>
      <c r="B3854" s="60" t="s">
        <v>118</v>
      </c>
      <c r="C3854" s="60">
        <v>150</v>
      </c>
      <c r="D3854" s="60">
        <v>416485</v>
      </c>
      <c r="E3854" s="60">
        <f t="shared" si="60"/>
        <v>-416485</v>
      </c>
    </row>
    <row r="3855" spans="1:5" x14ac:dyDescent="0.25">
      <c r="A3855" s="60">
        <v>551</v>
      </c>
      <c r="B3855" s="60" t="s">
        <v>118</v>
      </c>
      <c r="C3855" s="60">
        <v>160</v>
      </c>
      <c r="D3855" s="60">
        <v>0</v>
      </c>
      <c r="E3855" s="60">
        <f t="shared" si="60"/>
        <v>0</v>
      </c>
    </row>
    <row r="3856" spans="1:5" x14ac:dyDescent="0.25">
      <c r="A3856" s="60">
        <v>551</v>
      </c>
      <c r="B3856" s="60" t="s">
        <v>118</v>
      </c>
      <c r="C3856" s="60">
        <v>200</v>
      </c>
      <c r="D3856" s="60">
        <v>46630</v>
      </c>
      <c r="E3856" s="60">
        <f t="shared" si="60"/>
        <v>-46630</v>
      </c>
    </row>
    <row r="3857" spans="1:5" x14ac:dyDescent="0.25">
      <c r="A3857" s="60">
        <v>551</v>
      </c>
      <c r="B3857" s="60" t="s">
        <v>118</v>
      </c>
      <c r="C3857" s="60">
        <v>230</v>
      </c>
      <c r="D3857" s="60">
        <v>79961</v>
      </c>
      <c r="E3857" s="60">
        <f t="shared" si="60"/>
        <v>-79961</v>
      </c>
    </row>
    <row r="3858" spans="1:5" x14ac:dyDescent="0.25">
      <c r="A3858" s="60">
        <v>551</v>
      </c>
      <c r="B3858" s="60" t="s">
        <v>118</v>
      </c>
      <c r="C3858" s="60">
        <v>270</v>
      </c>
      <c r="D3858" s="60">
        <v>0</v>
      </c>
      <c r="E3858" s="60">
        <f t="shared" si="60"/>
        <v>0</v>
      </c>
    </row>
    <row r="3859" spans="1:5" x14ac:dyDescent="0.25">
      <c r="A3859" s="60">
        <v>551</v>
      </c>
      <c r="B3859" s="60" t="s">
        <v>119</v>
      </c>
      <c r="C3859" s="60">
        <v>1</v>
      </c>
      <c r="D3859" s="60">
        <v>7768949</v>
      </c>
      <c r="E3859" s="60">
        <f t="shared" si="60"/>
        <v>7768949</v>
      </c>
    </row>
    <row r="3860" spans="1:5" x14ac:dyDescent="0.25">
      <c r="A3860" s="60">
        <v>551</v>
      </c>
      <c r="B3860" s="60" t="s">
        <v>119</v>
      </c>
      <c r="C3860" s="60">
        <v>10</v>
      </c>
      <c r="D3860" s="60">
        <v>9200640</v>
      </c>
      <c r="E3860" s="60">
        <f t="shared" si="60"/>
        <v>9200640</v>
      </c>
    </row>
    <row r="3861" spans="1:5" x14ac:dyDescent="0.25">
      <c r="A3861" s="60">
        <v>551</v>
      </c>
      <c r="B3861" s="60" t="s">
        <v>119</v>
      </c>
      <c r="C3861" s="60">
        <v>50</v>
      </c>
      <c r="D3861" s="60">
        <v>1760</v>
      </c>
      <c r="E3861" s="60">
        <f t="shared" si="60"/>
        <v>1760</v>
      </c>
    </row>
    <row r="3862" spans="1:5" x14ac:dyDescent="0.25">
      <c r="A3862" s="60">
        <v>551</v>
      </c>
      <c r="B3862" s="60" t="s">
        <v>119</v>
      </c>
      <c r="C3862" s="60">
        <v>70</v>
      </c>
      <c r="D3862" s="60">
        <v>66028</v>
      </c>
      <c r="E3862" s="60">
        <f t="shared" si="60"/>
        <v>66028</v>
      </c>
    </row>
    <row r="3863" spans="1:5" x14ac:dyDescent="0.25">
      <c r="A3863" s="60">
        <v>551</v>
      </c>
      <c r="B3863" s="60" t="s">
        <v>119</v>
      </c>
      <c r="C3863" s="60">
        <v>110</v>
      </c>
      <c r="D3863" s="60">
        <v>9056000</v>
      </c>
      <c r="E3863" s="60">
        <f t="shared" si="60"/>
        <v>-9056000</v>
      </c>
    </row>
    <row r="3864" spans="1:5" x14ac:dyDescent="0.25">
      <c r="A3864" s="60">
        <v>551</v>
      </c>
      <c r="B3864" s="60" t="s">
        <v>119</v>
      </c>
      <c r="C3864" s="60">
        <v>120</v>
      </c>
      <c r="D3864" s="60">
        <v>10100</v>
      </c>
      <c r="E3864" s="60">
        <f t="shared" si="60"/>
        <v>-10100</v>
      </c>
    </row>
    <row r="3865" spans="1:5" x14ac:dyDescent="0.25">
      <c r="A3865" s="60">
        <v>551</v>
      </c>
      <c r="B3865" s="60" t="s">
        <v>119</v>
      </c>
      <c r="C3865" s="60">
        <v>140</v>
      </c>
      <c r="D3865" s="60">
        <v>52980</v>
      </c>
      <c r="E3865" s="60">
        <f t="shared" si="60"/>
        <v>-52980</v>
      </c>
    </row>
    <row r="3866" spans="1:5" x14ac:dyDescent="0.25">
      <c r="A3866" s="60">
        <v>551</v>
      </c>
      <c r="B3866" s="60" t="s">
        <v>119</v>
      </c>
      <c r="C3866" s="60">
        <v>200</v>
      </c>
      <c r="D3866" s="60">
        <v>44980</v>
      </c>
      <c r="E3866" s="60">
        <f t="shared" si="60"/>
        <v>-44980</v>
      </c>
    </row>
    <row r="3867" spans="1:5" x14ac:dyDescent="0.25">
      <c r="A3867" s="60">
        <v>551</v>
      </c>
      <c r="B3867" s="60" t="s">
        <v>119</v>
      </c>
      <c r="C3867" s="60">
        <v>210</v>
      </c>
      <c r="D3867" s="60">
        <v>86951</v>
      </c>
      <c r="E3867" s="60">
        <f t="shared" si="60"/>
        <v>-86951</v>
      </c>
    </row>
    <row r="3868" spans="1:5" x14ac:dyDescent="0.25">
      <c r="A3868" s="60">
        <v>551</v>
      </c>
      <c r="B3868" s="60" t="s">
        <v>119</v>
      </c>
      <c r="C3868" s="60">
        <v>230</v>
      </c>
      <c r="D3868" s="60">
        <v>35961</v>
      </c>
      <c r="E3868" s="60">
        <f t="shared" si="60"/>
        <v>-35961</v>
      </c>
    </row>
    <row r="3869" spans="1:5" x14ac:dyDescent="0.25">
      <c r="A3869" s="60">
        <v>551</v>
      </c>
      <c r="B3869" s="60" t="s">
        <v>119</v>
      </c>
      <c r="C3869" s="60">
        <v>270</v>
      </c>
      <c r="D3869" s="60">
        <v>0</v>
      </c>
      <c r="E3869" s="60">
        <f t="shared" si="60"/>
        <v>0</v>
      </c>
    </row>
    <row r="3870" spans="1:5" x14ac:dyDescent="0.25">
      <c r="A3870" s="60">
        <v>551</v>
      </c>
      <c r="B3870" s="60" t="s">
        <v>120</v>
      </c>
      <c r="C3870" s="60">
        <v>1</v>
      </c>
      <c r="D3870" s="60">
        <v>13718765</v>
      </c>
      <c r="E3870" s="60">
        <f t="shared" si="60"/>
        <v>13718765</v>
      </c>
    </row>
    <row r="3871" spans="1:5" x14ac:dyDescent="0.25">
      <c r="A3871" s="60">
        <v>551</v>
      </c>
      <c r="B3871" s="60" t="s">
        <v>120</v>
      </c>
      <c r="C3871" s="60">
        <v>10</v>
      </c>
      <c r="D3871" s="60">
        <v>32457420</v>
      </c>
      <c r="E3871" s="60">
        <f t="shared" si="60"/>
        <v>32457420</v>
      </c>
    </row>
    <row r="3872" spans="1:5" x14ac:dyDescent="0.25">
      <c r="A3872" s="60">
        <v>551</v>
      </c>
      <c r="B3872" s="60" t="s">
        <v>120</v>
      </c>
      <c r="C3872" s="60">
        <v>50</v>
      </c>
      <c r="D3872" s="60">
        <v>25140</v>
      </c>
      <c r="E3872" s="60">
        <f t="shared" si="60"/>
        <v>25140</v>
      </c>
    </row>
    <row r="3873" spans="1:5" x14ac:dyDescent="0.25">
      <c r="A3873" s="60">
        <v>551</v>
      </c>
      <c r="B3873" s="60" t="s">
        <v>120</v>
      </c>
      <c r="C3873" s="60">
        <v>70</v>
      </c>
      <c r="D3873" s="60">
        <v>-87068</v>
      </c>
      <c r="E3873" s="60">
        <f t="shared" si="60"/>
        <v>-87068</v>
      </c>
    </row>
    <row r="3874" spans="1:5" x14ac:dyDescent="0.25">
      <c r="A3874" s="60">
        <v>551</v>
      </c>
      <c r="B3874" s="60" t="s">
        <v>120</v>
      </c>
      <c r="C3874" s="60">
        <v>110</v>
      </c>
      <c r="D3874" s="60">
        <v>23115785</v>
      </c>
      <c r="E3874" s="60">
        <f t="shared" si="60"/>
        <v>-23115785</v>
      </c>
    </row>
    <row r="3875" spans="1:5" x14ac:dyDescent="0.25">
      <c r="A3875" s="60">
        <v>551</v>
      </c>
      <c r="B3875" s="60" t="s">
        <v>120</v>
      </c>
      <c r="C3875" s="60">
        <v>120</v>
      </c>
      <c r="D3875" s="60">
        <v>92660</v>
      </c>
      <c r="E3875" s="60">
        <f t="shared" si="60"/>
        <v>-92660</v>
      </c>
    </row>
    <row r="3876" spans="1:5" x14ac:dyDescent="0.25">
      <c r="A3876" s="60">
        <v>551</v>
      </c>
      <c r="B3876" s="60" t="s">
        <v>120</v>
      </c>
      <c r="C3876" s="60">
        <v>130</v>
      </c>
      <c r="D3876" s="60">
        <v>892657</v>
      </c>
      <c r="E3876" s="60">
        <f t="shared" si="60"/>
        <v>-892657</v>
      </c>
    </row>
    <row r="3877" spans="1:5" x14ac:dyDescent="0.25">
      <c r="A3877" s="60">
        <v>551</v>
      </c>
      <c r="B3877" s="60" t="s">
        <v>120</v>
      </c>
      <c r="C3877" s="60">
        <v>140</v>
      </c>
      <c r="D3877" s="60">
        <v>1119180</v>
      </c>
      <c r="E3877" s="60">
        <f t="shared" si="60"/>
        <v>-1119180</v>
      </c>
    </row>
    <row r="3878" spans="1:5" x14ac:dyDescent="0.25">
      <c r="A3878" s="60">
        <v>551</v>
      </c>
      <c r="B3878" s="60" t="s">
        <v>120</v>
      </c>
      <c r="C3878" s="60">
        <v>150</v>
      </c>
      <c r="D3878" s="60">
        <v>1532876</v>
      </c>
      <c r="E3878" s="60">
        <f t="shared" si="60"/>
        <v>-1532876</v>
      </c>
    </row>
    <row r="3879" spans="1:5" x14ac:dyDescent="0.25">
      <c r="A3879" s="60">
        <v>551</v>
      </c>
      <c r="B3879" s="60" t="s">
        <v>120</v>
      </c>
      <c r="C3879" s="60">
        <v>200</v>
      </c>
      <c r="D3879" s="60">
        <v>324526</v>
      </c>
      <c r="E3879" s="60">
        <f t="shared" si="60"/>
        <v>-324526</v>
      </c>
    </row>
    <row r="3880" spans="1:5" x14ac:dyDescent="0.25">
      <c r="A3880" s="60">
        <v>551</v>
      </c>
      <c r="B3880" s="60" t="s">
        <v>120</v>
      </c>
      <c r="C3880" s="60">
        <v>210</v>
      </c>
      <c r="D3880" s="60">
        <v>1398</v>
      </c>
      <c r="E3880" s="60">
        <f t="shared" si="60"/>
        <v>-1398</v>
      </c>
    </row>
    <row r="3881" spans="1:5" x14ac:dyDescent="0.25">
      <c r="A3881" s="60">
        <v>551</v>
      </c>
      <c r="B3881" s="60" t="s">
        <v>120</v>
      </c>
      <c r="C3881" s="60">
        <v>220</v>
      </c>
      <c r="D3881" s="60">
        <v>0</v>
      </c>
      <c r="E3881" s="60">
        <f t="shared" si="60"/>
        <v>0</v>
      </c>
    </row>
    <row r="3882" spans="1:5" x14ac:dyDescent="0.25">
      <c r="A3882" s="60">
        <v>551</v>
      </c>
      <c r="B3882" s="60" t="s">
        <v>120</v>
      </c>
      <c r="C3882" s="60">
        <v>230</v>
      </c>
      <c r="D3882" s="60">
        <v>48515</v>
      </c>
      <c r="E3882" s="60">
        <f t="shared" si="60"/>
        <v>-48515</v>
      </c>
    </row>
    <row r="3883" spans="1:5" x14ac:dyDescent="0.25">
      <c r="A3883" s="60">
        <v>551</v>
      </c>
      <c r="B3883" s="60" t="s">
        <v>120</v>
      </c>
      <c r="C3883" s="60">
        <v>270</v>
      </c>
      <c r="D3883" s="60">
        <v>0</v>
      </c>
      <c r="E3883" s="60">
        <f t="shared" si="60"/>
        <v>0</v>
      </c>
    </row>
    <row r="3884" spans="1:5" x14ac:dyDescent="0.25">
      <c r="A3884" s="60">
        <v>560</v>
      </c>
      <c r="B3884" s="60" t="s">
        <v>117</v>
      </c>
      <c r="C3884" s="60">
        <v>1</v>
      </c>
      <c r="D3884" s="60">
        <v>7871597</v>
      </c>
      <c r="E3884" s="60">
        <f t="shared" si="60"/>
        <v>7871597</v>
      </c>
    </row>
    <row r="3885" spans="1:5" x14ac:dyDescent="0.25">
      <c r="A3885" s="60">
        <v>560</v>
      </c>
      <c r="B3885" s="60" t="s">
        <v>117</v>
      </c>
      <c r="C3885" s="60">
        <v>10</v>
      </c>
      <c r="D3885" s="60">
        <v>164392910</v>
      </c>
      <c r="E3885" s="60">
        <f t="shared" si="60"/>
        <v>164392910</v>
      </c>
    </row>
    <row r="3886" spans="1:5" x14ac:dyDescent="0.25">
      <c r="A3886" s="60">
        <v>560</v>
      </c>
      <c r="B3886" s="60" t="s">
        <v>117</v>
      </c>
      <c r="C3886" s="60">
        <v>50</v>
      </c>
      <c r="D3886" s="60">
        <v>43315860</v>
      </c>
      <c r="E3886" s="60">
        <f t="shared" si="60"/>
        <v>43315860</v>
      </c>
    </row>
    <row r="3887" spans="1:5" x14ac:dyDescent="0.25">
      <c r="A3887" s="60">
        <v>560</v>
      </c>
      <c r="B3887" s="60" t="s">
        <v>117</v>
      </c>
      <c r="C3887" s="60">
        <v>51</v>
      </c>
      <c r="D3887" s="60">
        <v>326727000</v>
      </c>
      <c r="E3887" s="60">
        <f t="shared" si="60"/>
        <v>326727000</v>
      </c>
    </row>
    <row r="3888" spans="1:5" x14ac:dyDescent="0.25">
      <c r="A3888" s="60">
        <v>560</v>
      </c>
      <c r="B3888" s="60" t="s">
        <v>117</v>
      </c>
      <c r="C3888" s="60">
        <v>70</v>
      </c>
      <c r="D3888" s="60">
        <v>3600785</v>
      </c>
      <c r="E3888" s="60">
        <f t="shared" si="60"/>
        <v>3600785</v>
      </c>
    </row>
    <row r="3889" spans="1:5" x14ac:dyDescent="0.25">
      <c r="A3889" s="60">
        <v>560</v>
      </c>
      <c r="B3889" s="60" t="s">
        <v>117</v>
      </c>
      <c r="C3889" s="60">
        <v>100</v>
      </c>
      <c r="D3889" s="60">
        <v>478584100</v>
      </c>
      <c r="E3889" s="60">
        <f t="shared" si="60"/>
        <v>-478584100</v>
      </c>
    </row>
    <row r="3890" spans="1:5" x14ac:dyDescent="0.25">
      <c r="A3890" s="60">
        <v>560</v>
      </c>
      <c r="B3890" s="60" t="s">
        <v>117</v>
      </c>
      <c r="C3890" s="60">
        <v>110</v>
      </c>
      <c r="D3890" s="60">
        <v>2580640</v>
      </c>
      <c r="E3890" s="60">
        <f t="shared" si="60"/>
        <v>-2580640</v>
      </c>
    </row>
    <row r="3891" spans="1:5" x14ac:dyDescent="0.25">
      <c r="A3891" s="60">
        <v>560</v>
      </c>
      <c r="B3891" s="60" t="s">
        <v>117</v>
      </c>
      <c r="C3891" s="60">
        <v>130</v>
      </c>
      <c r="D3891" s="60">
        <v>0</v>
      </c>
      <c r="E3891" s="60">
        <f t="shared" si="60"/>
        <v>0</v>
      </c>
    </row>
    <row r="3892" spans="1:5" x14ac:dyDescent="0.25">
      <c r="A3892" s="60">
        <v>560</v>
      </c>
      <c r="B3892" s="60" t="s">
        <v>117</v>
      </c>
      <c r="C3892" s="60">
        <v>140</v>
      </c>
      <c r="D3892" s="60">
        <v>20708660</v>
      </c>
      <c r="E3892" s="60">
        <f t="shared" si="60"/>
        <v>-20708660</v>
      </c>
    </row>
    <row r="3893" spans="1:5" x14ac:dyDescent="0.25">
      <c r="A3893" s="60">
        <v>560</v>
      </c>
      <c r="B3893" s="60" t="s">
        <v>117</v>
      </c>
      <c r="C3893" s="60">
        <v>200</v>
      </c>
      <c r="D3893" s="60">
        <v>711348</v>
      </c>
      <c r="E3893" s="60">
        <f t="shared" si="60"/>
        <v>-711348</v>
      </c>
    </row>
    <row r="3894" spans="1:5" x14ac:dyDescent="0.25">
      <c r="A3894" s="60">
        <v>560</v>
      </c>
      <c r="B3894" s="60" t="s">
        <v>117</v>
      </c>
      <c r="C3894" s="60">
        <v>210</v>
      </c>
      <c r="D3894" s="60">
        <v>1220495</v>
      </c>
      <c r="E3894" s="60">
        <f t="shared" si="60"/>
        <v>-1220495</v>
      </c>
    </row>
    <row r="3895" spans="1:5" x14ac:dyDescent="0.25">
      <c r="A3895" s="60">
        <v>560</v>
      </c>
      <c r="B3895" s="60" t="s">
        <v>117</v>
      </c>
      <c r="C3895" s="60">
        <v>211</v>
      </c>
      <c r="D3895" s="60">
        <v>2251165</v>
      </c>
      <c r="E3895" s="60">
        <f t="shared" si="60"/>
        <v>-2251165</v>
      </c>
    </row>
    <row r="3896" spans="1:5" x14ac:dyDescent="0.25">
      <c r="A3896" s="60">
        <v>560</v>
      </c>
      <c r="B3896" s="60" t="s">
        <v>118</v>
      </c>
      <c r="C3896" s="60">
        <v>1</v>
      </c>
      <c r="D3896" s="60">
        <v>4798673</v>
      </c>
      <c r="E3896" s="60">
        <f t="shared" si="60"/>
        <v>4798673</v>
      </c>
    </row>
    <row r="3897" spans="1:5" x14ac:dyDescent="0.25">
      <c r="A3897" s="60">
        <v>560</v>
      </c>
      <c r="B3897" s="60" t="s">
        <v>118</v>
      </c>
      <c r="C3897" s="60">
        <v>10</v>
      </c>
      <c r="D3897" s="60">
        <v>81778400</v>
      </c>
      <c r="E3897" s="60">
        <f t="shared" si="60"/>
        <v>81778400</v>
      </c>
    </row>
    <row r="3898" spans="1:5" x14ac:dyDescent="0.25">
      <c r="A3898" s="60">
        <v>560</v>
      </c>
      <c r="B3898" s="60" t="s">
        <v>118</v>
      </c>
      <c r="C3898" s="60">
        <v>15</v>
      </c>
      <c r="D3898" s="60">
        <v>0</v>
      </c>
      <c r="E3898" s="60">
        <f t="shared" si="60"/>
        <v>0</v>
      </c>
    </row>
    <row r="3899" spans="1:5" x14ac:dyDescent="0.25">
      <c r="A3899" s="60">
        <v>560</v>
      </c>
      <c r="B3899" s="60" t="s">
        <v>118</v>
      </c>
      <c r="C3899" s="60">
        <v>50</v>
      </c>
      <c r="D3899" s="60">
        <v>186260</v>
      </c>
      <c r="E3899" s="60">
        <f t="shared" si="60"/>
        <v>186260</v>
      </c>
    </row>
    <row r="3900" spans="1:5" x14ac:dyDescent="0.25">
      <c r="A3900" s="60">
        <v>560</v>
      </c>
      <c r="B3900" s="60" t="s">
        <v>118</v>
      </c>
      <c r="C3900" s="60">
        <v>51</v>
      </c>
      <c r="D3900" s="60">
        <v>199259980</v>
      </c>
      <c r="E3900" s="60">
        <f t="shared" si="60"/>
        <v>199259980</v>
      </c>
    </row>
    <row r="3901" spans="1:5" x14ac:dyDescent="0.25">
      <c r="A3901" s="60">
        <v>560</v>
      </c>
      <c r="B3901" s="60" t="s">
        <v>118</v>
      </c>
      <c r="C3901" s="60">
        <v>70</v>
      </c>
      <c r="D3901" s="60">
        <v>7560000</v>
      </c>
      <c r="E3901" s="60">
        <f t="shared" si="60"/>
        <v>7560000</v>
      </c>
    </row>
    <row r="3902" spans="1:5" x14ac:dyDescent="0.25">
      <c r="A3902" s="60">
        <v>560</v>
      </c>
      <c r="B3902" s="60" t="s">
        <v>118</v>
      </c>
      <c r="C3902" s="60">
        <v>100</v>
      </c>
      <c r="D3902" s="60">
        <v>287907930</v>
      </c>
      <c r="E3902" s="60">
        <f t="shared" si="60"/>
        <v>-287907930</v>
      </c>
    </row>
    <row r="3903" spans="1:5" x14ac:dyDescent="0.25">
      <c r="A3903" s="60">
        <v>560</v>
      </c>
      <c r="B3903" s="60" t="s">
        <v>118</v>
      </c>
      <c r="C3903" s="60">
        <v>110</v>
      </c>
      <c r="D3903" s="60">
        <v>0</v>
      </c>
      <c r="E3903" s="60">
        <f t="shared" si="60"/>
        <v>0</v>
      </c>
    </row>
    <row r="3904" spans="1:5" x14ac:dyDescent="0.25">
      <c r="A3904" s="60">
        <v>560</v>
      </c>
      <c r="B3904" s="60" t="s">
        <v>118</v>
      </c>
      <c r="C3904" s="60">
        <v>130</v>
      </c>
      <c r="D3904" s="60">
        <v>0</v>
      </c>
      <c r="E3904" s="60">
        <f t="shared" si="60"/>
        <v>0</v>
      </c>
    </row>
    <row r="3905" spans="1:5" x14ac:dyDescent="0.25">
      <c r="A3905" s="60">
        <v>560</v>
      </c>
      <c r="B3905" s="60" t="s">
        <v>118</v>
      </c>
      <c r="C3905" s="60">
        <v>140</v>
      </c>
      <c r="D3905" s="60">
        <v>0</v>
      </c>
      <c r="E3905" s="60">
        <f t="shared" si="60"/>
        <v>0</v>
      </c>
    </row>
    <row r="3906" spans="1:5" x14ac:dyDescent="0.25">
      <c r="A3906" s="60">
        <v>560</v>
      </c>
      <c r="B3906" s="60" t="s">
        <v>118</v>
      </c>
      <c r="C3906" s="60">
        <v>200</v>
      </c>
      <c r="D3906" s="60">
        <v>402513</v>
      </c>
      <c r="E3906" s="60">
        <f t="shared" ref="E3906:E3969" si="61">IF(C3906&lt;100,D3906,D3906*-1)</f>
        <v>-402513</v>
      </c>
    </row>
    <row r="3907" spans="1:5" x14ac:dyDescent="0.25">
      <c r="A3907" s="60">
        <v>560</v>
      </c>
      <c r="B3907" s="60" t="s">
        <v>118</v>
      </c>
      <c r="C3907" s="60">
        <v>230</v>
      </c>
      <c r="D3907" s="60">
        <v>1025057</v>
      </c>
      <c r="E3907" s="60">
        <f t="shared" si="61"/>
        <v>-1025057</v>
      </c>
    </row>
    <row r="3908" spans="1:5" x14ac:dyDescent="0.25">
      <c r="A3908" s="60">
        <v>560</v>
      </c>
      <c r="B3908" s="60" t="s">
        <v>118</v>
      </c>
      <c r="C3908" s="60">
        <v>231</v>
      </c>
      <c r="D3908" s="60">
        <v>1387734</v>
      </c>
      <c r="E3908" s="60">
        <f t="shared" si="61"/>
        <v>-1387734</v>
      </c>
    </row>
    <row r="3909" spans="1:5" x14ac:dyDescent="0.25">
      <c r="A3909" s="60">
        <v>560</v>
      </c>
      <c r="B3909" s="60" t="s">
        <v>119</v>
      </c>
      <c r="C3909" s="60">
        <v>1</v>
      </c>
      <c r="D3909" s="60">
        <v>1044447</v>
      </c>
      <c r="E3909" s="60">
        <f t="shared" si="61"/>
        <v>1044447</v>
      </c>
    </row>
    <row r="3910" spans="1:5" x14ac:dyDescent="0.25">
      <c r="A3910" s="60">
        <v>560</v>
      </c>
      <c r="B3910" s="60" t="s">
        <v>119</v>
      </c>
      <c r="C3910" s="60">
        <v>10</v>
      </c>
      <c r="D3910" s="60">
        <v>76161780</v>
      </c>
      <c r="E3910" s="60">
        <f t="shared" si="61"/>
        <v>76161780</v>
      </c>
    </row>
    <row r="3911" spans="1:5" x14ac:dyDescent="0.25">
      <c r="A3911" s="60">
        <v>560</v>
      </c>
      <c r="B3911" s="60" t="s">
        <v>119</v>
      </c>
      <c r="C3911" s="60">
        <v>20</v>
      </c>
      <c r="D3911" s="60">
        <v>1131263</v>
      </c>
      <c r="E3911" s="60">
        <f t="shared" si="61"/>
        <v>1131263</v>
      </c>
    </row>
    <row r="3912" spans="1:5" x14ac:dyDescent="0.25">
      <c r="A3912" s="60">
        <v>560</v>
      </c>
      <c r="B3912" s="60" t="s">
        <v>119</v>
      </c>
      <c r="C3912" s="60">
        <v>50</v>
      </c>
      <c r="D3912" s="60">
        <v>0</v>
      </c>
      <c r="E3912" s="60">
        <f t="shared" si="61"/>
        <v>0</v>
      </c>
    </row>
    <row r="3913" spans="1:5" x14ac:dyDescent="0.25">
      <c r="A3913" s="60">
        <v>560</v>
      </c>
      <c r="B3913" s="60" t="s">
        <v>119</v>
      </c>
      <c r="C3913" s="60">
        <v>51</v>
      </c>
      <c r="D3913" s="60">
        <v>117724460</v>
      </c>
      <c r="E3913" s="60">
        <f t="shared" si="61"/>
        <v>117724460</v>
      </c>
    </row>
    <row r="3914" spans="1:5" x14ac:dyDescent="0.25">
      <c r="A3914" s="60">
        <v>560</v>
      </c>
      <c r="B3914" s="60" t="s">
        <v>119</v>
      </c>
      <c r="C3914" s="60">
        <v>100</v>
      </c>
      <c r="D3914" s="60">
        <v>119171020</v>
      </c>
      <c r="E3914" s="60">
        <f t="shared" si="61"/>
        <v>-119171020</v>
      </c>
    </row>
    <row r="3915" spans="1:5" x14ac:dyDescent="0.25">
      <c r="A3915" s="60">
        <v>560</v>
      </c>
      <c r="B3915" s="60" t="s">
        <v>119</v>
      </c>
      <c r="C3915" s="60">
        <v>110</v>
      </c>
      <c r="D3915" s="60">
        <v>57780</v>
      </c>
      <c r="E3915" s="60">
        <f t="shared" si="61"/>
        <v>-57780</v>
      </c>
    </row>
    <row r="3916" spans="1:5" x14ac:dyDescent="0.25">
      <c r="A3916" s="60">
        <v>560</v>
      </c>
      <c r="B3916" s="60" t="s">
        <v>119</v>
      </c>
      <c r="C3916" s="60">
        <v>130</v>
      </c>
      <c r="D3916" s="60">
        <v>0</v>
      </c>
      <c r="E3916" s="60">
        <f t="shared" si="61"/>
        <v>0</v>
      </c>
    </row>
    <row r="3917" spans="1:5" x14ac:dyDescent="0.25">
      <c r="A3917" s="60">
        <v>560</v>
      </c>
      <c r="B3917" s="60" t="s">
        <v>119</v>
      </c>
      <c r="C3917" s="60">
        <v>140</v>
      </c>
      <c r="D3917" s="60">
        <v>0</v>
      </c>
      <c r="E3917" s="60">
        <f t="shared" si="61"/>
        <v>0</v>
      </c>
    </row>
    <row r="3918" spans="1:5" x14ac:dyDescent="0.25">
      <c r="A3918" s="60">
        <v>560</v>
      </c>
      <c r="B3918" s="60" t="s">
        <v>119</v>
      </c>
      <c r="C3918" s="60">
        <v>141</v>
      </c>
      <c r="D3918" s="60">
        <v>18960</v>
      </c>
      <c r="E3918" s="60">
        <f t="shared" si="61"/>
        <v>-18960</v>
      </c>
    </row>
    <row r="3919" spans="1:5" x14ac:dyDescent="0.25">
      <c r="A3919" s="60">
        <v>560</v>
      </c>
      <c r="B3919" s="60" t="s">
        <v>119</v>
      </c>
      <c r="C3919" s="60">
        <v>200</v>
      </c>
      <c r="D3919" s="60">
        <v>374717</v>
      </c>
      <c r="E3919" s="60">
        <f t="shared" si="61"/>
        <v>-374717</v>
      </c>
    </row>
    <row r="3920" spans="1:5" x14ac:dyDescent="0.25">
      <c r="A3920" s="60">
        <v>560</v>
      </c>
      <c r="B3920" s="60" t="s">
        <v>119</v>
      </c>
      <c r="C3920" s="60">
        <v>210</v>
      </c>
      <c r="D3920" s="60">
        <v>21909</v>
      </c>
      <c r="E3920" s="60">
        <f t="shared" si="61"/>
        <v>-21909</v>
      </c>
    </row>
    <row r="3921" spans="1:5" x14ac:dyDescent="0.25">
      <c r="A3921" s="60">
        <v>560</v>
      </c>
      <c r="B3921" s="60" t="s">
        <v>119</v>
      </c>
      <c r="C3921" s="60">
        <v>211</v>
      </c>
      <c r="D3921" s="60">
        <v>490754</v>
      </c>
      <c r="E3921" s="60">
        <f t="shared" si="61"/>
        <v>-490754</v>
      </c>
    </row>
    <row r="3922" spans="1:5" x14ac:dyDescent="0.25">
      <c r="A3922" s="60">
        <v>560</v>
      </c>
      <c r="B3922" s="60" t="s">
        <v>119</v>
      </c>
      <c r="C3922" s="60">
        <v>230</v>
      </c>
      <c r="D3922" s="60">
        <v>347365</v>
      </c>
      <c r="E3922" s="60">
        <f t="shared" si="61"/>
        <v>-347365</v>
      </c>
    </row>
    <row r="3923" spans="1:5" x14ac:dyDescent="0.25">
      <c r="A3923" s="60">
        <v>560</v>
      </c>
      <c r="B3923" s="60" t="s">
        <v>119</v>
      </c>
      <c r="C3923" s="60">
        <v>231</v>
      </c>
      <c r="D3923" s="60">
        <v>46204</v>
      </c>
      <c r="E3923" s="60">
        <f t="shared" si="61"/>
        <v>-46204</v>
      </c>
    </row>
    <row r="3924" spans="1:5" x14ac:dyDescent="0.25">
      <c r="A3924" s="60">
        <v>560</v>
      </c>
      <c r="B3924" s="60" t="s">
        <v>120</v>
      </c>
      <c r="C3924" s="60">
        <v>1</v>
      </c>
      <c r="D3924" s="60">
        <v>18005865</v>
      </c>
      <c r="E3924" s="60">
        <f t="shared" si="61"/>
        <v>18005865</v>
      </c>
    </row>
    <row r="3925" spans="1:5" x14ac:dyDescent="0.25">
      <c r="A3925" s="60">
        <v>560</v>
      </c>
      <c r="B3925" s="60" t="s">
        <v>120</v>
      </c>
      <c r="C3925" s="60">
        <v>10</v>
      </c>
      <c r="D3925" s="60">
        <v>124341260</v>
      </c>
      <c r="E3925" s="60">
        <f t="shared" si="61"/>
        <v>124341260</v>
      </c>
    </row>
    <row r="3926" spans="1:5" x14ac:dyDescent="0.25">
      <c r="A3926" s="60">
        <v>560</v>
      </c>
      <c r="B3926" s="60" t="s">
        <v>120</v>
      </c>
      <c r="C3926" s="60">
        <v>20</v>
      </c>
      <c r="D3926" s="60">
        <v>0</v>
      </c>
      <c r="E3926" s="60">
        <f t="shared" si="61"/>
        <v>0</v>
      </c>
    </row>
    <row r="3927" spans="1:5" x14ac:dyDescent="0.25">
      <c r="A3927" s="60">
        <v>560</v>
      </c>
      <c r="B3927" s="60" t="s">
        <v>120</v>
      </c>
      <c r="C3927" s="60">
        <v>50</v>
      </c>
      <c r="D3927" s="60">
        <v>-168040</v>
      </c>
      <c r="E3927" s="60">
        <f t="shared" si="61"/>
        <v>-168040</v>
      </c>
    </row>
    <row r="3928" spans="1:5" x14ac:dyDescent="0.25">
      <c r="A3928" s="60">
        <v>560</v>
      </c>
      <c r="B3928" s="60" t="s">
        <v>120</v>
      </c>
      <c r="C3928" s="60">
        <v>51</v>
      </c>
      <c r="D3928" s="60">
        <v>550008100</v>
      </c>
      <c r="E3928" s="60">
        <f t="shared" si="61"/>
        <v>550008100</v>
      </c>
    </row>
    <row r="3929" spans="1:5" x14ac:dyDescent="0.25">
      <c r="A3929" s="60">
        <v>560</v>
      </c>
      <c r="B3929" s="60" t="s">
        <v>120</v>
      </c>
      <c r="C3929" s="60">
        <v>100</v>
      </c>
      <c r="D3929" s="60">
        <v>670487660</v>
      </c>
      <c r="E3929" s="60">
        <f t="shared" si="61"/>
        <v>-670487660</v>
      </c>
    </row>
    <row r="3930" spans="1:5" x14ac:dyDescent="0.25">
      <c r="A3930" s="60">
        <v>560</v>
      </c>
      <c r="B3930" s="60" t="s">
        <v>120</v>
      </c>
      <c r="C3930" s="60">
        <v>110</v>
      </c>
      <c r="D3930" s="60">
        <v>776570</v>
      </c>
      <c r="E3930" s="60">
        <f t="shared" si="61"/>
        <v>-776570</v>
      </c>
    </row>
    <row r="3931" spans="1:5" x14ac:dyDescent="0.25">
      <c r="A3931" s="60">
        <v>560</v>
      </c>
      <c r="B3931" s="60" t="s">
        <v>120</v>
      </c>
      <c r="C3931" s="60">
        <v>140</v>
      </c>
      <c r="D3931" s="60">
        <v>0</v>
      </c>
      <c r="E3931" s="60">
        <f t="shared" si="61"/>
        <v>0</v>
      </c>
    </row>
    <row r="3932" spans="1:5" x14ac:dyDescent="0.25">
      <c r="A3932" s="60">
        <v>560</v>
      </c>
      <c r="B3932" s="60" t="s">
        <v>120</v>
      </c>
      <c r="C3932" s="60">
        <v>141</v>
      </c>
      <c r="D3932" s="60">
        <v>156320</v>
      </c>
      <c r="E3932" s="60">
        <f t="shared" si="61"/>
        <v>-156320</v>
      </c>
    </row>
    <row r="3933" spans="1:5" x14ac:dyDescent="0.25">
      <c r="A3933" s="60">
        <v>560</v>
      </c>
      <c r="B3933" s="60" t="s">
        <v>120</v>
      </c>
      <c r="C3933" s="60">
        <v>200</v>
      </c>
      <c r="D3933" s="60">
        <v>982034</v>
      </c>
      <c r="E3933" s="60">
        <f t="shared" si="61"/>
        <v>-982034</v>
      </c>
    </row>
    <row r="3934" spans="1:5" x14ac:dyDescent="0.25">
      <c r="A3934" s="60">
        <v>560</v>
      </c>
      <c r="B3934" s="60" t="s">
        <v>120</v>
      </c>
      <c r="C3934" s="60">
        <v>210</v>
      </c>
      <c r="D3934" s="60">
        <v>56440</v>
      </c>
      <c r="E3934" s="60">
        <f t="shared" si="61"/>
        <v>-56440</v>
      </c>
    </row>
    <row r="3935" spans="1:5" x14ac:dyDescent="0.25">
      <c r="A3935" s="60">
        <v>560</v>
      </c>
      <c r="B3935" s="60" t="s">
        <v>120</v>
      </c>
      <c r="C3935" s="60">
        <v>211</v>
      </c>
      <c r="D3935" s="60">
        <v>923473</v>
      </c>
      <c r="E3935" s="60">
        <f t="shared" si="61"/>
        <v>-923473</v>
      </c>
    </row>
    <row r="3936" spans="1:5" x14ac:dyDescent="0.25">
      <c r="A3936" s="60">
        <v>560</v>
      </c>
      <c r="B3936" s="60" t="s">
        <v>120</v>
      </c>
      <c r="C3936" s="60">
        <v>230</v>
      </c>
      <c r="D3936" s="60">
        <v>501767</v>
      </c>
      <c r="E3936" s="60">
        <f t="shared" si="61"/>
        <v>-501767</v>
      </c>
    </row>
    <row r="3937" spans="1:5" x14ac:dyDescent="0.25">
      <c r="A3937" s="60">
        <v>560</v>
      </c>
      <c r="B3937" s="60" t="s">
        <v>120</v>
      </c>
      <c r="C3937" s="60">
        <v>231</v>
      </c>
      <c r="D3937" s="60">
        <v>139986</v>
      </c>
      <c r="E3937" s="60">
        <f t="shared" si="61"/>
        <v>-139986</v>
      </c>
    </row>
    <row r="3938" spans="1:5" x14ac:dyDescent="0.25">
      <c r="A3938" s="60">
        <v>561</v>
      </c>
      <c r="B3938" s="60" t="s">
        <v>117</v>
      </c>
      <c r="C3938" s="60">
        <v>1</v>
      </c>
      <c r="D3938" s="60">
        <v>160554010</v>
      </c>
      <c r="E3938" s="60">
        <f t="shared" si="61"/>
        <v>160554010</v>
      </c>
    </row>
    <row r="3939" spans="1:5" x14ac:dyDescent="0.25">
      <c r="A3939" s="60">
        <v>561</v>
      </c>
      <c r="B3939" s="60" t="s">
        <v>117</v>
      </c>
      <c r="C3939" s="60">
        <v>10</v>
      </c>
      <c r="D3939" s="60">
        <v>112741420</v>
      </c>
      <c r="E3939" s="60">
        <f t="shared" si="61"/>
        <v>112741420</v>
      </c>
    </row>
    <row r="3940" spans="1:5" x14ac:dyDescent="0.25">
      <c r="A3940" s="60">
        <v>561</v>
      </c>
      <c r="B3940" s="60" t="s">
        <v>117</v>
      </c>
      <c r="C3940" s="60">
        <v>15</v>
      </c>
      <c r="D3940" s="60">
        <v>0</v>
      </c>
      <c r="E3940" s="60">
        <f t="shared" si="61"/>
        <v>0</v>
      </c>
    </row>
    <row r="3941" spans="1:5" x14ac:dyDescent="0.25">
      <c r="A3941" s="60">
        <v>561</v>
      </c>
      <c r="B3941" s="60" t="s">
        <v>117</v>
      </c>
      <c r="C3941" s="60">
        <v>50</v>
      </c>
      <c r="D3941" s="60">
        <v>20708660</v>
      </c>
      <c r="E3941" s="60">
        <f t="shared" si="61"/>
        <v>20708660</v>
      </c>
    </row>
    <row r="3942" spans="1:5" x14ac:dyDescent="0.25">
      <c r="A3942" s="60">
        <v>561</v>
      </c>
      <c r="B3942" s="60" t="s">
        <v>117</v>
      </c>
      <c r="C3942" s="60">
        <v>51</v>
      </c>
      <c r="D3942" s="60">
        <v>4064320</v>
      </c>
      <c r="E3942" s="60">
        <f t="shared" si="61"/>
        <v>4064320</v>
      </c>
    </row>
    <row r="3943" spans="1:5" x14ac:dyDescent="0.25">
      <c r="A3943" s="60">
        <v>561</v>
      </c>
      <c r="B3943" s="60" t="s">
        <v>117</v>
      </c>
      <c r="C3943" s="60">
        <v>70</v>
      </c>
      <c r="D3943" s="60">
        <v>0</v>
      </c>
      <c r="E3943" s="60">
        <f t="shared" si="61"/>
        <v>0</v>
      </c>
    </row>
    <row r="3944" spans="1:5" x14ac:dyDescent="0.25">
      <c r="A3944" s="60">
        <v>561</v>
      </c>
      <c r="B3944" s="60" t="s">
        <v>117</v>
      </c>
      <c r="C3944" s="60">
        <v>110</v>
      </c>
      <c r="D3944" s="60">
        <v>0</v>
      </c>
      <c r="E3944" s="60">
        <f t="shared" si="61"/>
        <v>0</v>
      </c>
    </row>
    <row r="3945" spans="1:5" x14ac:dyDescent="0.25">
      <c r="A3945" s="60">
        <v>561</v>
      </c>
      <c r="B3945" s="60" t="s">
        <v>117</v>
      </c>
      <c r="C3945" s="60">
        <v>130</v>
      </c>
      <c r="D3945" s="60">
        <v>0</v>
      </c>
      <c r="E3945" s="60">
        <f t="shared" si="61"/>
        <v>0</v>
      </c>
    </row>
    <row r="3946" spans="1:5" x14ac:dyDescent="0.25">
      <c r="A3946" s="60">
        <v>561</v>
      </c>
      <c r="B3946" s="60" t="s">
        <v>117</v>
      </c>
      <c r="C3946" s="60">
        <v>140</v>
      </c>
      <c r="D3946" s="60">
        <v>43315860</v>
      </c>
      <c r="E3946" s="60">
        <f t="shared" si="61"/>
        <v>-43315860</v>
      </c>
    </row>
    <row r="3947" spans="1:5" x14ac:dyDescent="0.25">
      <c r="A3947" s="60">
        <v>561</v>
      </c>
      <c r="B3947" s="60" t="s">
        <v>117</v>
      </c>
      <c r="C3947" s="60">
        <v>141</v>
      </c>
      <c r="D3947" s="60">
        <v>2320020</v>
      </c>
      <c r="E3947" s="60">
        <f t="shared" si="61"/>
        <v>-2320020</v>
      </c>
    </row>
    <row r="3948" spans="1:5" x14ac:dyDescent="0.25">
      <c r="A3948" s="60">
        <v>561</v>
      </c>
      <c r="B3948" s="60" t="s">
        <v>117</v>
      </c>
      <c r="C3948" s="60">
        <v>200</v>
      </c>
      <c r="D3948" s="60">
        <v>563987</v>
      </c>
      <c r="E3948" s="60">
        <f t="shared" si="61"/>
        <v>-563987</v>
      </c>
    </row>
    <row r="3949" spans="1:5" x14ac:dyDescent="0.25">
      <c r="A3949" s="60">
        <v>561</v>
      </c>
      <c r="B3949" s="60" t="s">
        <v>117</v>
      </c>
      <c r="C3949" s="60">
        <v>210</v>
      </c>
      <c r="D3949" s="60">
        <v>837712</v>
      </c>
      <c r="E3949" s="60">
        <f t="shared" si="61"/>
        <v>-837712</v>
      </c>
    </row>
    <row r="3950" spans="1:5" x14ac:dyDescent="0.25">
      <c r="A3950" s="60">
        <v>561</v>
      </c>
      <c r="B3950" s="60" t="s">
        <v>117</v>
      </c>
      <c r="C3950" s="60">
        <v>211</v>
      </c>
      <c r="D3950" s="60">
        <v>29788</v>
      </c>
      <c r="E3950" s="60">
        <f t="shared" si="61"/>
        <v>-29788</v>
      </c>
    </row>
    <row r="3951" spans="1:5" x14ac:dyDescent="0.25">
      <c r="A3951" s="60">
        <v>561</v>
      </c>
      <c r="B3951" s="60" t="s">
        <v>118</v>
      </c>
      <c r="C3951" s="60">
        <v>1</v>
      </c>
      <c r="D3951" s="60">
        <v>0</v>
      </c>
      <c r="E3951" s="60">
        <f t="shared" si="61"/>
        <v>0</v>
      </c>
    </row>
    <row r="3952" spans="1:5" x14ac:dyDescent="0.25">
      <c r="A3952" s="60">
        <v>561</v>
      </c>
      <c r="B3952" s="60" t="s">
        <v>118</v>
      </c>
      <c r="C3952" s="60">
        <v>10</v>
      </c>
      <c r="D3952" s="60">
        <v>0</v>
      </c>
      <c r="E3952" s="60">
        <f t="shared" si="61"/>
        <v>0</v>
      </c>
    </row>
    <row r="3953" spans="1:5" x14ac:dyDescent="0.25">
      <c r="A3953" s="60">
        <v>561</v>
      </c>
      <c r="B3953" s="60" t="s">
        <v>118</v>
      </c>
      <c r="C3953" s="60">
        <v>50</v>
      </c>
      <c r="D3953" s="60">
        <v>0</v>
      </c>
      <c r="E3953" s="60">
        <f t="shared" si="61"/>
        <v>0</v>
      </c>
    </row>
    <row r="3954" spans="1:5" x14ac:dyDescent="0.25">
      <c r="A3954" s="60">
        <v>561</v>
      </c>
      <c r="B3954" s="60" t="s">
        <v>118</v>
      </c>
      <c r="C3954" s="60">
        <v>70</v>
      </c>
      <c r="D3954" s="60">
        <v>0</v>
      </c>
      <c r="E3954" s="60">
        <f t="shared" si="61"/>
        <v>0</v>
      </c>
    </row>
    <row r="3955" spans="1:5" x14ac:dyDescent="0.25">
      <c r="A3955" s="60">
        <v>561</v>
      </c>
      <c r="B3955" s="60" t="s">
        <v>118</v>
      </c>
      <c r="C3955" s="60">
        <v>140</v>
      </c>
      <c r="D3955" s="60">
        <v>0</v>
      </c>
      <c r="E3955" s="60">
        <f t="shared" si="61"/>
        <v>0</v>
      </c>
    </row>
    <row r="3956" spans="1:5" x14ac:dyDescent="0.25">
      <c r="A3956" s="60">
        <v>561</v>
      </c>
      <c r="B3956" s="60" t="s">
        <v>118</v>
      </c>
      <c r="C3956" s="60">
        <v>200</v>
      </c>
      <c r="D3956" s="60">
        <v>0</v>
      </c>
      <c r="E3956" s="60">
        <f t="shared" si="61"/>
        <v>0</v>
      </c>
    </row>
    <row r="3957" spans="1:5" x14ac:dyDescent="0.25">
      <c r="A3957" s="60">
        <v>561</v>
      </c>
      <c r="B3957" s="60" t="s">
        <v>118</v>
      </c>
      <c r="C3957" s="60">
        <v>230</v>
      </c>
      <c r="D3957" s="60">
        <v>0</v>
      </c>
      <c r="E3957" s="60">
        <f t="shared" si="61"/>
        <v>0</v>
      </c>
    </row>
    <row r="3958" spans="1:5" x14ac:dyDescent="0.25">
      <c r="A3958" s="60">
        <v>561</v>
      </c>
      <c r="B3958" s="60" t="s">
        <v>119</v>
      </c>
      <c r="C3958" s="60">
        <v>10</v>
      </c>
      <c r="D3958" s="60">
        <v>0</v>
      </c>
      <c r="E3958" s="60">
        <f t="shared" si="61"/>
        <v>0</v>
      </c>
    </row>
    <row r="3959" spans="1:5" x14ac:dyDescent="0.25">
      <c r="A3959" s="60">
        <v>561</v>
      </c>
      <c r="B3959" s="60" t="s">
        <v>119</v>
      </c>
      <c r="C3959" s="60">
        <v>50</v>
      </c>
      <c r="D3959" s="60">
        <v>0</v>
      </c>
      <c r="E3959" s="60">
        <f t="shared" si="61"/>
        <v>0</v>
      </c>
    </row>
    <row r="3960" spans="1:5" x14ac:dyDescent="0.25">
      <c r="A3960" s="60">
        <v>561</v>
      </c>
      <c r="B3960" s="60" t="s">
        <v>119</v>
      </c>
      <c r="C3960" s="60">
        <v>210</v>
      </c>
      <c r="D3960" s="60">
        <v>0</v>
      </c>
      <c r="E3960" s="60">
        <f t="shared" si="61"/>
        <v>0</v>
      </c>
    </row>
    <row r="3961" spans="1:5" x14ac:dyDescent="0.25">
      <c r="A3961" s="60">
        <v>561</v>
      </c>
      <c r="B3961" s="60" t="s">
        <v>119</v>
      </c>
      <c r="C3961" s="60">
        <v>230</v>
      </c>
      <c r="D3961" s="60">
        <v>0</v>
      </c>
      <c r="E3961" s="60">
        <f t="shared" si="61"/>
        <v>0</v>
      </c>
    </row>
    <row r="3962" spans="1:5" x14ac:dyDescent="0.25">
      <c r="A3962" s="60">
        <v>561</v>
      </c>
      <c r="B3962" s="60" t="s">
        <v>120</v>
      </c>
      <c r="C3962" s="60">
        <v>1</v>
      </c>
      <c r="D3962" s="60">
        <v>0</v>
      </c>
      <c r="E3962" s="60">
        <f t="shared" si="61"/>
        <v>0</v>
      </c>
    </row>
    <row r="3963" spans="1:5" x14ac:dyDescent="0.25">
      <c r="A3963" s="60">
        <v>561</v>
      </c>
      <c r="B3963" s="60" t="s">
        <v>120</v>
      </c>
      <c r="C3963" s="60">
        <v>10</v>
      </c>
      <c r="D3963" s="60">
        <v>0</v>
      </c>
      <c r="E3963" s="60">
        <f t="shared" si="61"/>
        <v>0</v>
      </c>
    </row>
    <row r="3964" spans="1:5" x14ac:dyDescent="0.25">
      <c r="A3964" s="60">
        <v>561</v>
      </c>
      <c r="B3964" s="60" t="s">
        <v>120</v>
      </c>
      <c r="C3964" s="60">
        <v>50</v>
      </c>
      <c r="D3964" s="60">
        <v>0</v>
      </c>
      <c r="E3964" s="60">
        <f t="shared" si="61"/>
        <v>0</v>
      </c>
    </row>
    <row r="3965" spans="1:5" x14ac:dyDescent="0.25">
      <c r="A3965" s="60">
        <v>561</v>
      </c>
      <c r="B3965" s="60" t="s">
        <v>120</v>
      </c>
      <c r="C3965" s="60">
        <v>51</v>
      </c>
      <c r="D3965" s="60">
        <v>0</v>
      </c>
      <c r="E3965" s="60">
        <f t="shared" si="61"/>
        <v>0</v>
      </c>
    </row>
    <row r="3966" spans="1:5" x14ac:dyDescent="0.25">
      <c r="A3966" s="60">
        <v>561</v>
      </c>
      <c r="B3966" s="60" t="s">
        <v>120</v>
      </c>
      <c r="C3966" s="60">
        <v>70</v>
      </c>
      <c r="D3966" s="60">
        <v>0</v>
      </c>
      <c r="E3966" s="60">
        <f t="shared" si="61"/>
        <v>0</v>
      </c>
    </row>
    <row r="3967" spans="1:5" x14ac:dyDescent="0.25">
      <c r="A3967" s="60">
        <v>561</v>
      </c>
      <c r="B3967" s="60" t="s">
        <v>120</v>
      </c>
      <c r="C3967" s="60">
        <v>110</v>
      </c>
      <c r="D3967" s="60">
        <v>0</v>
      </c>
      <c r="E3967" s="60">
        <f t="shared" si="61"/>
        <v>0</v>
      </c>
    </row>
    <row r="3968" spans="1:5" x14ac:dyDescent="0.25">
      <c r="A3968" s="60">
        <v>561</v>
      </c>
      <c r="B3968" s="60" t="s">
        <v>120</v>
      </c>
      <c r="C3968" s="60">
        <v>140</v>
      </c>
      <c r="D3968" s="60">
        <v>0</v>
      </c>
      <c r="E3968" s="60">
        <f t="shared" si="61"/>
        <v>0</v>
      </c>
    </row>
    <row r="3969" spans="1:5" x14ac:dyDescent="0.25">
      <c r="A3969" s="60">
        <v>561</v>
      </c>
      <c r="B3969" s="60" t="s">
        <v>120</v>
      </c>
      <c r="C3969" s="60">
        <v>200</v>
      </c>
      <c r="D3969" s="60">
        <v>0</v>
      </c>
      <c r="E3969" s="60">
        <f t="shared" si="61"/>
        <v>0</v>
      </c>
    </row>
    <row r="3970" spans="1:5" x14ac:dyDescent="0.25">
      <c r="A3970" s="60">
        <v>561</v>
      </c>
      <c r="B3970" s="60" t="s">
        <v>120</v>
      </c>
      <c r="C3970" s="60">
        <v>210</v>
      </c>
      <c r="D3970" s="60">
        <v>0</v>
      </c>
      <c r="E3970" s="60">
        <f t="shared" ref="E3970:E4033" si="62">IF(C3970&lt;100,D3970,D3970*-1)</f>
        <v>0</v>
      </c>
    </row>
    <row r="3971" spans="1:5" x14ac:dyDescent="0.25">
      <c r="A3971" s="60">
        <v>561</v>
      </c>
      <c r="B3971" s="60" t="s">
        <v>120</v>
      </c>
      <c r="C3971" s="60">
        <v>211</v>
      </c>
      <c r="D3971" s="60">
        <v>0</v>
      </c>
      <c r="E3971" s="60">
        <f t="shared" si="62"/>
        <v>0</v>
      </c>
    </row>
    <row r="3972" spans="1:5" x14ac:dyDescent="0.25">
      <c r="A3972" s="60">
        <v>561</v>
      </c>
      <c r="B3972" s="60" t="s">
        <v>120</v>
      </c>
      <c r="C3972" s="60">
        <v>220</v>
      </c>
      <c r="D3972" s="60">
        <v>0</v>
      </c>
      <c r="E3972" s="60">
        <f t="shared" si="62"/>
        <v>0</v>
      </c>
    </row>
    <row r="3973" spans="1:5" x14ac:dyDescent="0.25">
      <c r="A3973" s="60">
        <v>561</v>
      </c>
      <c r="B3973" s="60" t="s">
        <v>120</v>
      </c>
      <c r="C3973" s="60">
        <v>230</v>
      </c>
      <c r="D3973" s="60">
        <v>0</v>
      </c>
      <c r="E3973" s="60">
        <f t="shared" si="62"/>
        <v>0</v>
      </c>
    </row>
    <row r="3974" spans="1:5" x14ac:dyDescent="0.25">
      <c r="A3974" s="60">
        <v>565</v>
      </c>
      <c r="B3974" s="60" t="s">
        <v>117</v>
      </c>
      <c r="C3974" s="60">
        <v>1</v>
      </c>
      <c r="D3974" s="60">
        <v>28312780</v>
      </c>
      <c r="E3974" s="60">
        <f t="shared" si="62"/>
        <v>28312780</v>
      </c>
    </row>
    <row r="3975" spans="1:5" x14ac:dyDescent="0.25">
      <c r="A3975" s="60">
        <v>565</v>
      </c>
      <c r="B3975" s="60" t="s">
        <v>117</v>
      </c>
      <c r="C3975" s="60">
        <v>50</v>
      </c>
      <c r="D3975" s="60">
        <v>0</v>
      </c>
      <c r="E3975" s="60">
        <f t="shared" si="62"/>
        <v>0</v>
      </c>
    </row>
    <row r="3976" spans="1:5" x14ac:dyDescent="0.25">
      <c r="A3976" s="60">
        <v>565</v>
      </c>
      <c r="B3976" s="60" t="s">
        <v>117</v>
      </c>
      <c r="C3976" s="60">
        <v>210</v>
      </c>
      <c r="D3976" s="60">
        <v>0</v>
      </c>
      <c r="E3976" s="60">
        <f t="shared" si="62"/>
        <v>0</v>
      </c>
    </row>
    <row r="3977" spans="1:5" x14ac:dyDescent="0.25">
      <c r="A3977" s="60">
        <v>566</v>
      </c>
      <c r="B3977" s="60" t="s">
        <v>117</v>
      </c>
      <c r="C3977" s="60">
        <v>50</v>
      </c>
      <c r="D3977" s="60">
        <v>272922400</v>
      </c>
      <c r="E3977" s="60">
        <f t="shared" si="62"/>
        <v>272922400</v>
      </c>
    </row>
    <row r="3978" spans="1:5" x14ac:dyDescent="0.25">
      <c r="A3978" s="60">
        <v>566</v>
      </c>
      <c r="B3978" s="60" t="s">
        <v>117</v>
      </c>
      <c r="C3978" s="60">
        <v>110</v>
      </c>
      <c r="D3978" s="60">
        <v>0</v>
      </c>
      <c r="E3978" s="60">
        <f t="shared" si="62"/>
        <v>0</v>
      </c>
    </row>
    <row r="3979" spans="1:5" x14ac:dyDescent="0.25">
      <c r="A3979" s="60">
        <v>566</v>
      </c>
      <c r="B3979" s="60" t="s">
        <v>117</v>
      </c>
      <c r="C3979" s="60">
        <v>141</v>
      </c>
      <c r="D3979" s="60">
        <v>55440</v>
      </c>
      <c r="E3979" s="60">
        <f t="shared" si="62"/>
        <v>-55440</v>
      </c>
    </row>
    <row r="3980" spans="1:5" x14ac:dyDescent="0.25">
      <c r="A3980" s="60">
        <v>567</v>
      </c>
      <c r="B3980" s="60" t="s">
        <v>117</v>
      </c>
      <c r="C3980" s="60">
        <v>50</v>
      </c>
      <c r="D3980" s="60">
        <v>6280720</v>
      </c>
      <c r="E3980" s="60">
        <f t="shared" si="62"/>
        <v>6280720</v>
      </c>
    </row>
    <row r="3981" spans="1:5" x14ac:dyDescent="0.25">
      <c r="A3981" s="60">
        <v>567</v>
      </c>
      <c r="B3981" s="60" t="s">
        <v>117</v>
      </c>
      <c r="C3981" s="60">
        <v>210</v>
      </c>
      <c r="D3981" s="60">
        <v>56260</v>
      </c>
      <c r="E3981" s="60">
        <f t="shared" si="62"/>
        <v>-56260</v>
      </c>
    </row>
    <row r="3982" spans="1:5" x14ac:dyDescent="0.25">
      <c r="A3982" s="60">
        <v>570</v>
      </c>
      <c r="B3982" s="60" t="s">
        <v>117</v>
      </c>
      <c r="C3982" s="60">
        <v>17</v>
      </c>
      <c r="D3982" s="60">
        <v>0</v>
      </c>
      <c r="E3982" s="60">
        <f t="shared" si="62"/>
        <v>0</v>
      </c>
    </row>
    <row r="3983" spans="1:5" x14ac:dyDescent="0.25">
      <c r="A3983" s="60">
        <v>570</v>
      </c>
      <c r="B3983" s="60" t="s">
        <v>117</v>
      </c>
      <c r="C3983" s="60">
        <v>210</v>
      </c>
      <c r="D3983" s="60">
        <v>0</v>
      </c>
      <c r="E3983" s="60">
        <f t="shared" si="62"/>
        <v>0</v>
      </c>
    </row>
    <row r="3984" spans="1:5" x14ac:dyDescent="0.25">
      <c r="A3984" s="60">
        <v>571</v>
      </c>
      <c r="B3984" s="60" t="s">
        <v>117</v>
      </c>
      <c r="C3984" s="60">
        <v>10</v>
      </c>
      <c r="D3984" s="60">
        <v>0</v>
      </c>
      <c r="E3984" s="60">
        <f t="shared" si="62"/>
        <v>0</v>
      </c>
    </row>
    <row r="3985" spans="1:5" x14ac:dyDescent="0.25">
      <c r="A3985" s="60">
        <v>571</v>
      </c>
      <c r="B3985" s="60" t="s">
        <v>117</v>
      </c>
      <c r="C3985" s="60">
        <v>110</v>
      </c>
      <c r="D3985" s="60">
        <v>0</v>
      </c>
      <c r="E3985" s="60">
        <f t="shared" si="62"/>
        <v>0</v>
      </c>
    </row>
    <row r="3986" spans="1:5" x14ac:dyDescent="0.25">
      <c r="A3986" s="60">
        <v>571</v>
      </c>
      <c r="B3986" s="60" t="s">
        <v>117</v>
      </c>
      <c r="C3986" s="60">
        <v>210</v>
      </c>
      <c r="D3986" s="60">
        <v>0</v>
      </c>
      <c r="E3986" s="60">
        <f t="shared" si="62"/>
        <v>0</v>
      </c>
    </row>
    <row r="3987" spans="1:5" x14ac:dyDescent="0.25">
      <c r="A3987" s="60">
        <v>571</v>
      </c>
      <c r="B3987" s="60" t="s">
        <v>118</v>
      </c>
      <c r="C3987" s="60">
        <v>10</v>
      </c>
      <c r="D3987" s="60">
        <v>0</v>
      </c>
      <c r="E3987" s="60">
        <f t="shared" si="62"/>
        <v>0</v>
      </c>
    </row>
    <row r="3988" spans="1:5" x14ac:dyDescent="0.25">
      <c r="A3988" s="60">
        <v>571</v>
      </c>
      <c r="B3988" s="60" t="s">
        <v>118</v>
      </c>
      <c r="C3988" s="60">
        <v>230</v>
      </c>
      <c r="D3988" s="60">
        <v>0</v>
      </c>
      <c r="E3988" s="60">
        <f t="shared" si="62"/>
        <v>0</v>
      </c>
    </row>
    <row r="3989" spans="1:5" x14ac:dyDescent="0.25">
      <c r="A3989" s="60">
        <v>571</v>
      </c>
      <c r="B3989" s="60" t="s">
        <v>120</v>
      </c>
      <c r="C3989" s="60">
        <v>10</v>
      </c>
      <c r="D3989" s="60">
        <v>0</v>
      </c>
      <c r="E3989" s="60">
        <f t="shared" si="62"/>
        <v>0</v>
      </c>
    </row>
    <row r="3990" spans="1:5" x14ac:dyDescent="0.25">
      <c r="A3990" s="60">
        <v>571</v>
      </c>
      <c r="B3990" s="60" t="s">
        <v>120</v>
      </c>
      <c r="C3990" s="60">
        <v>110</v>
      </c>
      <c r="D3990" s="60">
        <v>0</v>
      </c>
      <c r="E3990" s="60">
        <f t="shared" si="62"/>
        <v>0</v>
      </c>
    </row>
    <row r="3991" spans="1:5" x14ac:dyDescent="0.25">
      <c r="A3991" s="60">
        <v>571</v>
      </c>
      <c r="B3991" s="60" t="s">
        <v>120</v>
      </c>
      <c r="C3991" s="60">
        <v>230</v>
      </c>
      <c r="D3991" s="60">
        <v>0</v>
      </c>
      <c r="E3991" s="60">
        <f t="shared" si="62"/>
        <v>0</v>
      </c>
    </row>
    <row r="3992" spans="1:5" x14ac:dyDescent="0.25">
      <c r="A3992" s="60">
        <v>601</v>
      </c>
      <c r="B3992" s="60" t="s">
        <v>117</v>
      </c>
      <c r="C3992" s="60">
        <v>1</v>
      </c>
      <c r="D3992" s="60">
        <v>0</v>
      </c>
      <c r="E3992" s="60">
        <f t="shared" si="62"/>
        <v>0</v>
      </c>
    </row>
    <row r="3993" spans="1:5" x14ac:dyDescent="0.25">
      <c r="A3993" s="60">
        <v>601</v>
      </c>
      <c r="B3993" s="60" t="s">
        <v>117</v>
      </c>
      <c r="C3993" s="60">
        <v>10</v>
      </c>
      <c r="D3993" s="60">
        <v>0</v>
      </c>
      <c r="E3993" s="60">
        <f t="shared" si="62"/>
        <v>0</v>
      </c>
    </row>
    <row r="3994" spans="1:5" x14ac:dyDescent="0.25">
      <c r="A3994" s="60">
        <v>601</v>
      </c>
      <c r="B3994" s="60" t="s">
        <v>117</v>
      </c>
      <c r="C3994" s="60">
        <v>50</v>
      </c>
      <c r="D3994" s="60">
        <v>0</v>
      </c>
      <c r="E3994" s="60">
        <f t="shared" si="62"/>
        <v>0</v>
      </c>
    </row>
    <row r="3995" spans="1:5" x14ac:dyDescent="0.25">
      <c r="A3995" s="60">
        <v>601</v>
      </c>
      <c r="B3995" s="60" t="s">
        <v>117</v>
      </c>
      <c r="C3995" s="60">
        <v>110</v>
      </c>
      <c r="D3995" s="60">
        <v>0</v>
      </c>
      <c r="E3995" s="60">
        <f t="shared" si="62"/>
        <v>0</v>
      </c>
    </row>
    <row r="3996" spans="1:5" x14ac:dyDescent="0.25">
      <c r="A3996" s="60">
        <v>601</v>
      </c>
      <c r="B3996" s="60" t="s">
        <v>117</v>
      </c>
      <c r="C3996" s="60">
        <v>130</v>
      </c>
      <c r="D3996" s="60">
        <v>0</v>
      </c>
      <c r="E3996" s="60">
        <f t="shared" si="62"/>
        <v>0</v>
      </c>
    </row>
    <row r="3997" spans="1:5" x14ac:dyDescent="0.25">
      <c r="A3997" s="60">
        <v>601</v>
      </c>
      <c r="B3997" s="60" t="s">
        <v>117</v>
      </c>
      <c r="C3997" s="60">
        <v>150</v>
      </c>
      <c r="D3997" s="60">
        <v>0</v>
      </c>
      <c r="E3997" s="60">
        <f t="shared" si="62"/>
        <v>0</v>
      </c>
    </row>
    <row r="3998" spans="1:5" x14ac:dyDescent="0.25">
      <c r="A3998" s="60">
        <v>601</v>
      </c>
      <c r="B3998" s="60" t="s">
        <v>117</v>
      </c>
      <c r="C3998" s="60">
        <v>200</v>
      </c>
      <c r="D3998" s="60">
        <v>0</v>
      </c>
      <c r="E3998" s="60">
        <f t="shared" si="62"/>
        <v>0</v>
      </c>
    </row>
    <row r="3999" spans="1:5" x14ac:dyDescent="0.25">
      <c r="A3999" s="60">
        <v>601</v>
      </c>
      <c r="B3999" s="60" t="s">
        <v>117</v>
      </c>
      <c r="C3999" s="60">
        <v>210</v>
      </c>
      <c r="D3999" s="60">
        <v>0</v>
      </c>
      <c r="E3999" s="60">
        <f t="shared" si="62"/>
        <v>0</v>
      </c>
    </row>
    <row r="4000" spans="1:5" x14ac:dyDescent="0.25">
      <c r="A4000" s="60">
        <v>601</v>
      </c>
      <c r="B4000" s="60" t="s">
        <v>117</v>
      </c>
      <c r="C4000" s="60">
        <v>230</v>
      </c>
      <c r="D4000" s="60">
        <v>0</v>
      </c>
      <c r="E4000" s="60">
        <f t="shared" si="62"/>
        <v>0</v>
      </c>
    </row>
    <row r="4001" spans="1:5" x14ac:dyDescent="0.25">
      <c r="A4001" s="60">
        <v>601</v>
      </c>
      <c r="B4001" s="60" t="s">
        <v>117</v>
      </c>
      <c r="C4001" s="60">
        <v>270</v>
      </c>
      <c r="D4001" s="60">
        <v>0</v>
      </c>
      <c r="E4001" s="60">
        <f t="shared" si="62"/>
        <v>0</v>
      </c>
    </row>
    <row r="4002" spans="1:5" x14ac:dyDescent="0.25">
      <c r="A4002" s="60">
        <v>601</v>
      </c>
      <c r="B4002" s="60" t="s">
        <v>117</v>
      </c>
      <c r="C4002" s="60">
        <v>298</v>
      </c>
      <c r="D4002" s="60">
        <v>0</v>
      </c>
      <c r="E4002" s="60">
        <f t="shared" si="62"/>
        <v>0</v>
      </c>
    </row>
    <row r="4003" spans="1:5" x14ac:dyDescent="0.25">
      <c r="A4003" s="60">
        <v>601</v>
      </c>
      <c r="B4003" s="60" t="s">
        <v>118</v>
      </c>
      <c r="C4003" s="60">
        <v>1</v>
      </c>
      <c r="D4003" s="60">
        <v>0</v>
      </c>
      <c r="E4003" s="60">
        <f t="shared" si="62"/>
        <v>0</v>
      </c>
    </row>
    <row r="4004" spans="1:5" x14ac:dyDescent="0.25">
      <c r="A4004" s="60">
        <v>601</v>
      </c>
      <c r="B4004" s="60" t="s">
        <v>118</v>
      </c>
      <c r="C4004" s="60">
        <v>10</v>
      </c>
      <c r="D4004" s="60">
        <v>0</v>
      </c>
      <c r="E4004" s="60">
        <f t="shared" si="62"/>
        <v>0</v>
      </c>
    </row>
    <row r="4005" spans="1:5" x14ac:dyDescent="0.25">
      <c r="A4005" s="60">
        <v>601</v>
      </c>
      <c r="B4005" s="60" t="s">
        <v>118</v>
      </c>
      <c r="C4005" s="60">
        <v>110</v>
      </c>
      <c r="D4005" s="60">
        <v>0</v>
      </c>
      <c r="E4005" s="60">
        <f t="shared" si="62"/>
        <v>0</v>
      </c>
    </row>
    <row r="4006" spans="1:5" x14ac:dyDescent="0.25">
      <c r="A4006" s="60">
        <v>601</v>
      </c>
      <c r="B4006" s="60" t="s">
        <v>118</v>
      </c>
      <c r="C4006" s="60">
        <v>120</v>
      </c>
      <c r="D4006" s="60">
        <v>0</v>
      </c>
      <c r="E4006" s="60">
        <f t="shared" si="62"/>
        <v>0</v>
      </c>
    </row>
    <row r="4007" spans="1:5" x14ac:dyDescent="0.25">
      <c r="A4007" s="60">
        <v>601</v>
      </c>
      <c r="B4007" s="60" t="s">
        <v>118</v>
      </c>
      <c r="C4007" s="60">
        <v>130</v>
      </c>
      <c r="D4007" s="60">
        <v>0</v>
      </c>
      <c r="E4007" s="60">
        <f t="shared" si="62"/>
        <v>0</v>
      </c>
    </row>
    <row r="4008" spans="1:5" x14ac:dyDescent="0.25">
      <c r="A4008" s="60">
        <v>601</v>
      </c>
      <c r="B4008" s="60" t="s">
        <v>118</v>
      </c>
      <c r="C4008" s="60">
        <v>150</v>
      </c>
      <c r="D4008" s="60">
        <v>0</v>
      </c>
      <c r="E4008" s="60">
        <f t="shared" si="62"/>
        <v>0</v>
      </c>
    </row>
    <row r="4009" spans="1:5" x14ac:dyDescent="0.25">
      <c r="A4009" s="60">
        <v>601</v>
      </c>
      <c r="B4009" s="60" t="s">
        <v>118</v>
      </c>
      <c r="C4009" s="60">
        <v>160</v>
      </c>
      <c r="D4009" s="60">
        <v>0</v>
      </c>
      <c r="E4009" s="60">
        <f t="shared" si="62"/>
        <v>0</v>
      </c>
    </row>
    <row r="4010" spans="1:5" x14ac:dyDescent="0.25">
      <c r="A4010" s="60">
        <v>601</v>
      </c>
      <c r="B4010" s="60" t="s">
        <v>118</v>
      </c>
      <c r="C4010" s="60">
        <v>230</v>
      </c>
      <c r="D4010" s="60">
        <v>0</v>
      </c>
      <c r="E4010" s="60">
        <f t="shared" si="62"/>
        <v>0</v>
      </c>
    </row>
    <row r="4011" spans="1:5" x14ac:dyDescent="0.25">
      <c r="A4011" s="60">
        <v>601</v>
      </c>
      <c r="B4011" s="60" t="s">
        <v>118</v>
      </c>
      <c r="C4011" s="60">
        <v>270</v>
      </c>
      <c r="D4011" s="60">
        <v>0</v>
      </c>
      <c r="E4011" s="60">
        <f t="shared" si="62"/>
        <v>0</v>
      </c>
    </row>
    <row r="4012" spans="1:5" x14ac:dyDescent="0.25">
      <c r="A4012" s="60">
        <v>601</v>
      </c>
      <c r="B4012" s="60" t="s">
        <v>118</v>
      </c>
      <c r="C4012" s="60">
        <v>298</v>
      </c>
      <c r="D4012" s="60">
        <v>0</v>
      </c>
      <c r="E4012" s="60">
        <f t="shared" si="62"/>
        <v>0</v>
      </c>
    </row>
    <row r="4013" spans="1:5" x14ac:dyDescent="0.25">
      <c r="A4013" s="60">
        <v>601</v>
      </c>
      <c r="B4013" s="60" t="s">
        <v>119</v>
      </c>
      <c r="C4013" s="60">
        <v>1</v>
      </c>
      <c r="D4013" s="60">
        <v>0</v>
      </c>
      <c r="E4013" s="60">
        <f t="shared" si="62"/>
        <v>0</v>
      </c>
    </row>
    <row r="4014" spans="1:5" x14ac:dyDescent="0.25">
      <c r="A4014" s="60">
        <v>601</v>
      </c>
      <c r="B4014" s="60" t="s">
        <v>119</v>
      </c>
      <c r="C4014" s="60">
        <v>10</v>
      </c>
      <c r="D4014" s="60">
        <v>0</v>
      </c>
      <c r="E4014" s="60">
        <f t="shared" si="62"/>
        <v>0</v>
      </c>
    </row>
    <row r="4015" spans="1:5" x14ac:dyDescent="0.25">
      <c r="A4015" s="60">
        <v>601</v>
      </c>
      <c r="B4015" s="60" t="s">
        <v>119</v>
      </c>
      <c r="C4015" s="60">
        <v>50</v>
      </c>
      <c r="D4015" s="60">
        <v>0</v>
      </c>
      <c r="E4015" s="60">
        <f t="shared" si="62"/>
        <v>0</v>
      </c>
    </row>
    <row r="4016" spans="1:5" x14ac:dyDescent="0.25">
      <c r="A4016" s="60">
        <v>601</v>
      </c>
      <c r="B4016" s="60" t="s">
        <v>119</v>
      </c>
      <c r="C4016" s="60">
        <v>70</v>
      </c>
      <c r="D4016" s="60">
        <v>0</v>
      </c>
      <c r="E4016" s="60">
        <f t="shared" si="62"/>
        <v>0</v>
      </c>
    </row>
    <row r="4017" spans="1:5" x14ac:dyDescent="0.25">
      <c r="A4017" s="60">
        <v>601</v>
      </c>
      <c r="B4017" s="60" t="s">
        <v>119</v>
      </c>
      <c r="C4017" s="60">
        <v>110</v>
      </c>
      <c r="D4017" s="60">
        <v>0</v>
      </c>
      <c r="E4017" s="60">
        <f t="shared" si="62"/>
        <v>0</v>
      </c>
    </row>
    <row r="4018" spans="1:5" x14ac:dyDescent="0.25">
      <c r="A4018" s="60">
        <v>601</v>
      </c>
      <c r="B4018" s="60" t="s">
        <v>119</v>
      </c>
      <c r="C4018" s="60">
        <v>130</v>
      </c>
      <c r="D4018" s="60">
        <v>0</v>
      </c>
      <c r="E4018" s="60">
        <f t="shared" si="62"/>
        <v>0</v>
      </c>
    </row>
    <row r="4019" spans="1:5" x14ac:dyDescent="0.25">
      <c r="A4019" s="60">
        <v>601</v>
      </c>
      <c r="B4019" s="60" t="s">
        <v>119</v>
      </c>
      <c r="C4019" s="60">
        <v>150</v>
      </c>
      <c r="D4019" s="60">
        <v>0</v>
      </c>
      <c r="E4019" s="60">
        <f t="shared" si="62"/>
        <v>0</v>
      </c>
    </row>
    <row r="4020" spans="1:5" x14ac:dyDescent="0.25">
      <c r="A4020" s="60">
        <v>601</v>
      </c>
      <c r="B4020" s="60" t="s">
        <v>119</v>
      </c>
      <c r="C4020" s="60">
        <v>210</v>
      </c>
      <c r="D4020" s="60">
        <v>0</v>
      </c>
      <c r="E4020" s="60">
        <f t="shared" si="62"/>
        <v>0</v>
      </c>
    </row>
    <row r="4021" spans="1:5" x14ac:dyDescent="0.25">
      <c r="A4021" s="60">
        <v>601</v>
      </c>
      <c r="B4021" s="60" t="s">
        <v>119</v>
      </c>
      <c r="C4021" s="60">
        <v>230</v>
      </c>
      <c r="D4021" s="60">
        <v>0</v>
      </c>
      <c r="E4021" s="60">
        <f t="shared" si="62"/>
        <v>0</v>
      </c>
    </row>
    <row r="4022" spans="1:5" x14ac:dyDescent="0.25">
      <c r="A4022" s="60">
        <v>601</v>
      </c>
      <c r="B4022" s="60" t="s">
        <v>119</v>
      </c>
      <c r="C4022" s="60">
        <v>270</v>
      </c>
      <c r="D4022" s="60">
        <v>0</v>
      </c>
      <c r="E4022" s="60">
        <f t="shared" si="62"/>
        <v>0</v>
      </c>
    </row>
    <row r="4023" spans="1:5" x14ac:dyDescent="0.25">
      <c r="A4023" s="60">
        <v>601</v>
      </c>
      <c r="B4023" s="60" t="s">
        <v>119</v>
      </c>
      <c r="C4023" s="60">
        <v>298</v>
      </c>
      <c r="D4023" s="60">
        <v>0</v>
      </c>
      <c r="E4023" s="60">
        <f t="shared" si="62"/>
        <v>0</v>
      </c>
    </row>
    <row r="4024" spans="1:5" x14ac:dyDescent="0.25">
      <c r="A4024" s="60">
        <v>601</v>
      </c>
      <c r="B4024" s="60" t="s">
        <v>120</v>
      </c>
      <c r="C4024" s="60">
        <v>1</v>
      </c>
      <c r="D4024" s="60">
        <v>0</v>
      </c>
      <c r="E4024" s="60">
        <f t="shared" si="62"/>
        <v>0</v>
      </c>
    </row>
    <row r="4025" spans="1:5" x14ac:dyDescent="0.25">
      <c r="A4025" s="60">
        <v>601</v>
      </c>
      <c r="B4025" s="60" t="s">
        <v>120</v>
      </c>
      <c r="C4025" s="60">
        <v>10</v>
      </c>
      <c r="D4025" s="60">
        <v>0</v>
      </c>
      <c r="E4025" s="60">
        <f t="shared" si="62"/>
        <v>0</v>
      </c>
    </row>
    <row r="4026" spans="1:5" x14ac:dyDescent="0.25">
      <c r="A4026" s="60">
        <v>601</v>
      </c>
      <c r="B4026" s="60" t="s">
        <v>120</v>
      </c>
      <c r="C4026" s="60">
        <v>50</v>
      </c>
      <c r="D4026" s="60">
        <v>0</v>
      </c>
      <c r="E4026" s="60">
        <f t="shared" si="62"/>
        <v>0</v>
      </c>
    </row>
    <row r="4027" spans="1:5" x14ac:dyDescent="0.25">
      <c r="A4027" s="60">
        <v>601</v>
      </c>
      <c r="B4027" s="60" t="s">
        <v>120</v>
      </c>
      <c r="C4027" s="60">
        <v>110</v>
      </c>
      <c r="D4027" s="60">
        <v>0</v>
      </c>
      <c r="E4027" s="60">
        <f t="shared" si="62"/>
        <v>0</v>
      </c>
    </row>
    <row r="4028" spans="1:5" x14ac:dyDescent="0.25">
      <c r="A4028" s="60">
        <v>601</v>
      </c>
      <c r="B4028" s="60" t="s">
        <v>120</v>
      </c>
      <c r="C4028" s="60">
        <v>120</v>
      </c>
      <c r="D4028" s="60">
        <v>0</v>
      </c>
      <c r="E4028" s="60">
        <f t="shared" si="62"/>
        <v>0</v>
      </c>
    </row>
    <row r="4029" spans="1:5" x14ac:dyDescent="0.25">
      <c r="A4029" s="60">
        <v>601</v>
      </c>
      <c r="B4029" s="60" t="s">
        <v>120</v>
      </c>
      <c r="C4029" s="60">
        <v>130</v>
      </c>
      <c r="D4029" s="60">
        <v>0</v>
      </c>
      <c r="E4029" s="60">
        <f t="shared" si="62"/>
        <v>0</v>
      </c>
    </row>
    <row r="4030" spans="1:5" x14ac:dyDescent="0.25">
      <c r="A4030" s="60">
        <v>601</v>
      </c>
      <c r="B4030" s="60" t="s">
        <v>120</v>
      </c>
      <c r="C4030" s="60">
        <v>140</v>
      </c>
      <c r="D4030" s="60">
        <v>0</v>
      </c>
      <c r="E4030" s="60">
        <f t="shared" si="62"/>
        <v>0</v>
      </c>
    </row>
    <row r="4031" spans="1:5" x14ac:dyDescent="0.25">
      <c r="A4031" s="60">
        <v>601</v>
      </c>
      <c r="B4031" s="60" t="s">
        <v>120</v>
      </c>
      <c r="C4031" s="60">
        <v>150</v>
      </c>
      <c r="D4031" s="60">
        <v>0</v>
      </c>
      <c r="E4031" s="60">
        <f t="shared" si="62"/>
        <v>0</v>
      </c>
    </row>
    <row r="4032" spans="1:5" x14ac:dyDescent="0.25">
      <c r="A4032" s="60">
        <v>601</v>
      </c>
      <c r="B4032" s="60" t="s">
        <v>120</v>
      </c>
      <c r="C4032" s="60">
        <v>160</v>
      </c>
      <c r="D4032" s="60">
        <v>0</v>
      </c>
      <c r="E4032" s="60">
        <f t="shared" si="62"/>
        <v>0</v>
      </c>
    </row>
    <row r="4033" spans="1:5" x14ac:dyDescent="0.25">
      <c r="A4033" s="60">
        <v>601</v>
      </c>
      <c r="B4033" s="60" t="s">
        <v>120</v>
      </c>
      <c r="C4033" s="60">
        <v>220</v>
      </c>
      <c r="D4033" s="60">
        <v>0</v>
      </c>
      <c r="E4033" s="60">
        <f t="shared" si="62"/>
        <v>0</v>
      </c>
    </row>
    <row r="4034" spans="1:5" x14ac:dyDescent="0.25">
      <c r="A4034" s="60">
        <v>601</v>
      </c>
      <c r="B4034" s="60" t="s">
        <v>120</v>
      </c>
      <c r="C4034" s="60">
        <v>230</v>
      </c>
      <c r="D4034" s="60">
        <v>0</v>
      </c>
      <c r="E4034" s="60">
        <f t="shared" ref="E4034:E4097" si="63">IF(C4034&lt;100,D4034,D4034*-1)</f>
        <v>0</v>
      </c>
    </row>
    <row r="4035" spans="1:5" x14ac:dyDescent="0.25">
      <c r="A4035" s="60">
        <v>601</v>
      </c>
      <c r="B4035" s="60" t="s">
        <v>120</v>
      </c>
      <c r="C4035" s="60">
        <v>270</v>
      </c>
      <c r="D4035" s="60">
        <v>0</v>
      </c>
      <c r="E4035" s="60">
        <f t="shared" si="63"/>
        <v>0</v>
      </c>
    </row>
    <row r="4036" spans="1:5" x14ac:dyDescent="0.25">
      <c r="A4036" s="60">
        <v>601</v>
      </c>
      <c r="B4036" s="60" t="s">
        <v>120</v>
      </c>
      <c r="C4036" s="60">
        <v>298</v>
      </c>
      <c r="D4036" s="60">
        <v>0</v>
      </c>
      <c r="E4036" s="60">
        <f t="shared" si="63"/>
        <v>0</v>
      </c>
    </row>
    <row r="4037" spans="1:5" x14ac:dyDescent="0.25">
      <c r="A4037" s="60">
        <v>602</v>
      </c>
      <c r="B4037" s="60" t="s">
        <v>117</v>
      </c>
      <c r="C4037" s="60">
        <v>1</v>
      </c>
      <c r="D4037" s="60">
        <v>0</v>
      </c>
      <c r="E4037" s="60">
        <f t="shared" si="63"/>
        <v>0</v>
      </c>
    </row>
    <row r="4038" spans="1:5" x14ac:dyDescent="0.25">
      <c r="A4038" s="60">
        <v>602</v>
      </c>
      <c r="B4038" s="60" t="s">
        <v>117</v>
      </c>
      <c r="C4038" s="60">
        <v>10</v>
      </c>
      <c r="D4038" s="60">
        <v>0</v>
      </c>
      <c r="E4038" s="60">
        <f t="shared" si="63"/>
        <v>0</v>
      </c>
    </row>
    <row r="4039" spans="1:5" x14ac:dyDescent="0.25">
      <c r="A4039" s="60">
        <v>602</v>
      </c>
      <c r="B4039" s="60" t="s">
        <v>117</v>
      </c>
      <c r="C4039" s="60">
        <v>20</v>
      </c>
      <c r="D4039" s="60">
        <v>0</v>
      </c>
      <c r="E4039" s="60">
        <f t="shared" si="63"/>
        <v>0</v>
      </c>
    </row>
    <row r="4040" spans="1:5" x14ac:dyDescent="0.25">
      <c r="A4040" s="60">
        <v>602</v>
      </c>
      <c r="B4040" s="60" t="s">
        <v>117</v>
      </c>
      <c r="C4040" s="60">
        <v>50</v>
      </c>
      <c r="D4040" s="60">
        <v>0</v>
      </c>
      <c r="E4040" s="60">
        <f t="shared" si="63"/>
        <v>0</v>
      </c>
    </row>
    <row r="4041" spans="1:5" x14ac:dyDescent="0.25">
      <c r="A4041" s="60">
        <v>602</v>
      </c>
      <c r="B4041" s="60" t="s">
        <v>117</v>
      </c>
      <c r="C4041" s="60">
        <v>110</v>
      </c>
      <c r="D4041" s="60">
        <v>0</v>
      </c>
      <c r="E4041" s="60">
        <f t="shared" si="63"/>
        <v>0</v>
      </c>
    </row>
    <row r="4042" spans="1:5" x14ac:dyDescent="0.25">
      <c r="A4042" s="60">
        <v>602</v>
      </c>
      <c r="B4042" s="60" t="s">
        <v>117</v>
      </c>
      <c r="C4042" s="60">
        <v>120</v>
      </c>
      <c r="D4042" s="60">
        <v>0</v>
      </c>
      <c r="E4042" s="60">
        <f t="shared" si="63"/>
        <v>0</v>
      </c>
    </row>
    <row r="4043" spans="1:5" x14ac:dyDescent="0.25">
      <c r="A4043" s="60">
        <v>602</v>
      </c>
      <c r="B4043" s="60" t="s">
        <v>117</v>
      </c>
      <c r="C4043" s="60">
        <v>130</v>
      </c>
      <c r="D4043" s="60">
        <v>0</v>
      </c>
      <c r="E4043" s="60">
        <f t="shared" si="63"/>
        <v>0</v>
      </c>
    </row>
    <row r="4044" spans="1:5" x14ac:dyDescent="0.25">
      <c r="A4044" s="60">
        <v>602</v>
      </c>
      <c r="B4044" s="60" t="s">
        <v>117</v>
      </c>
      <c r="C4044" s="60">
        <v>200</v>
      </c>
      <c r="D4044" s="60">
        <v>0</v>
      </c>
      <c r="E4044" s="60">
        <f t="shared" si="63"/>
        <v>0</v>
      </c>
    </row>
    <row r="4045" spans="1:5" x14ac:dyDescent="0.25">
      <c r="A4045" s="60">
        <v>602</v>
      </c>
      <c r="B4045" s="60" t="s">
        <v>117</v>
      </c>
      <c r="C4045" s="60">
        <v>210</v>
      </c>
      <c r="D4045" s="60">
        <v>0</v>
      </c>
      <c r="E4045" s="60">
        <f t="shared" si="63"/>
        <v>0</v>
      </c>
    </row>
    <row r="4046" spans="1:5" x14ac:dyDescent="0.25">
      <c r="A4046" s="60">
        <v>602</v>
      </c>
      <c r="B4046" s="60" t="s">
        <v>117</v>
      </c>
      <c r="C4046" s="60">
        <v>230</v>
      </c>
      <c r="D4046" s="60">
        <v>0</v>
      </c>
      <c r="E4046" s="60">
        <f t="shared" si="63"/>
        <v>0</v>
      </c>
    </row>
    <row r="4047" spans="1:5" x14ac:dyDescent="0.25">
      <c r="A4047" s="60">
        <v>602</v>
      </c>
      <c r="B4047" s="60" t="s">
        <v>117</v>
      </c>
      <c r="C4047" s="60">
        <v>270</v>
      </c>
      <c r="D4047" s="60">
        <v>0</v>
      </c>
      <c r="E4047" s="60">
        <f t="shared" si="63"/>
        <v>0</v>
      </c>
    </row>
    <row r="4048" spans="1:5" x14ac:dyDescent="0.25">
      <c r="A4048" s="60">
        <v>602</v>
      </c>
      <c r="B4048" s="60" t="s">
        <v>117</v>
      </c>
      <c r="C4048" s="60">
        <v>298</v>
      </c>
      <c r="D4048" s="60">
        <v>0</v>
      </c>
      <c r="E4048" s="60">
        <f t="shared" si="63"/>
        <v>0</v>
      </c>
    </row>
    <row r="4049" spans="1:5" x14ac:dyDescent="0.25">
      <c r="A4049" s="60">
        <v>602</v>
      </c>
      <c r="B4049" s="60" t="s">
        <v>118</v>
      </c>
      <c r="C4049" s="60">
        <v>1</v>
      </c>
      <c r="D4049" s="60">
        <v>0</v>
      </c>
      <c r="E4049" s="60">
        <f t="shared" si="63"/>
        <v>0</v>
      </c>
    </row>
    <row r="4050" spans="1:5" x14ac:dyDescent="0.25">
      <c r="A4050" s="60">
        <v>602</v>
      </c>
      <c r="B4050" s="60" t="s">
        <v>118</v>
      </c>
      <c r="C4050" s="60">
        <v>10</v>
      </c>
      <c r="D4050" s="60">
        <v>0</v>
      </c>
      <c r="E4050" s="60">
        <f t="shared" si="63"/>
        <v>0</v>
      </c>
    </row>
    <row r="4051" spans="1:5" x14ac:dyDescent="0.25">
      <c r="A4051" s="60">
        <v>602</v>
      </c>
      <c r="B4051" s="60" t="s">
        <v>118</v>
      </c>
      <c r="C4051" s="60">
        <v>110</v>
      </c>
      <c r="D4051" s="60">
        <v>0</v>
      </c>
      <c r="E4051" s="60">
        <f t="shared" si="63"/>
        <v>0</v>
      </c>
    </row>
    <row r="4052" spans="1:5" x14ac:dyDescent="0.25">
      <c r="A4052" s="60">
        <v>602</v>
      </c>
      <c r="B4052" s="60" t="s">
        <v>118</v>
      </c>
      <c r="C4052" s="60">
        <v>120</v>
      </c>
      <c r="D4052" s="60">
        <v>0</v>
      </c>
      <c r="E4052" s="60">
        <f t="shared" si="63"/>
        <v>0</v>
      </c>
    </row>
    <row r="4053" spans="1:5" x14ac:dyDescent="0.25">
      <c r="A4053" s="60">
        <v>602</v>
      </c>
      <c r="B4053" s="60" t="s">
        <v>118</v>
      </c>
      <c r="C4053" s="60">
        <v>130</v>
      </c>
      <c r="D4053" s="60">
        <v>0</v>
      </c>
      <c r="E4053" s="60">
        <f t="shared" si="63"/>
        <v>0</v>
      </c>
    </row>
    <row r="4054" spans="1:5" x14ac:dyDescent="0.25">
      <c r="A4054" s="60">
        <v>602</v>
      </c>
      <c r="B4054" s="60" t="s">
        <v>118</v>
      </c>
      <c r="C4054" s="60">
        <v>150</v>
      </c>
      <c r="D4054" s="60">
        <v>0</v>
      </c>
      <c r="E4054" s="60">
        <f t="shared" si="63"/>
        <v>0</v>
      </c>
    </row>
    <row r="4055" spans="1:5" x14ac:dyDescent="0.25">
      <c r="A4055" s="60">
        <v>602</v>
      </c>
      <c r="B4055" s="60" t="s">
        <v>118</v>
      </c>
      <c r="C4055" s="60">
        <v>210</v>
      </c>
      <c r="D4055" s="60">
        <v>0</v>
      </c>
      <c r="E4055" s="60">
        <f t="shared" si="63"/>
        <v>0</v>
      </c>
    </row>
    <row r="4056" spans="1:5" x14ac:dyDescent="0.25">
      <c r="A4056" s="60">
        <v>602</v>
      </c>
      <c r="B4056" s="60" t="s">
        <v>118</v>
      </c>
      <c r="C4056" s="60">
        <v>230</v>
      </c>
      <c r="D4056" s="60">
        <v>0</v>
      </c>
      <c r="E4056" s="60">
        <f t="shared" si="63"/>
        <v>0</v>
      </c>
    </row>
    <row r="4057" spans="1:5" x14ac:dyDescent="0.25">
      <c r="A4057" s="60">
        <v>602</v>
      </c>
      <c r="B4057" s="60" t="s">
        <v>118</v>
      </c>
      <c r="C4057" s="60">
        <v>270</v>
      </c>
      <c r="D4057" s="60">
        <v>0</v>
      </c>
      <c r="E4057" s="60">
        <f t="shared" si="63"/>
        <v>0</v>
      </c>
    </row>
    <row r="4058" spans="1:5" x14ac:dyDescent="0.25">
      <c r="A4058" s="60">
        <v>602</v>
      </c>
      <c r="B4058" s="60" t="s">
        <v>118</v>
      </c>
      <c r="C4058" s="60">
        <v>298</v>
      </c>
      <c r="D4058" s="60">
        <v>0</v>
      </c>
      <c r="E4058" s="60">
        <f t="shared" si="63"/>
        <v>0</v>
      </c>
    </row>
    <row r="4059" spans="1:5" x14ac:dyDescent="0.25">
      <c r="A4059" s="60">
        <v>602</v>
      </c>
      <c r="B4059" s="60" t="s">
        <v>119</v>
      </c>
      <c r="C4059" s="60">
        <v>1</v>
      </c>
      <c r="D4059" s="60">
        <v>0</v>
      </c>
      <c r="E4059" s="60">
        <f t="shared" si="63"/>
        <v>0</v>
      </c>
    </row>
    <row r="4060" spans="1:5" x14ac:dyDescent="0.25">
      <c r="A4060" s="60">
        <v>602</v>
      </c>
      <c r="B4060" s="60" t="s">
        <v>119</v>
      </c>
      <c r="C4060" s="60">
        <v>10</v>
      </c>
      <c r="D4060" s="60">
        <v>0</v>
      </c>
      <c r="E4060" s="60">
        <f t="shared" si="63"/>
        <v>0</v>
      </c>
    </row>
    <row r="4061" spans="1:5" x14ac:dyDescent="0.25">
      <c r="A4061" s="60">
        <v>602</v>
      </c>
      <c r="B4061" s="60" t="s">
        <v>119</v>
      </c>
      <c r="C4061" s="60">
        <v>50</v>
      </c>
      <c r="D4061" s="60">
        <v>0</v>
      </c>
      <c r="E4061" s="60">
        <f t="shared" si="63"/>
        <v>0</v>
      </c>
    </row>
    <row r="4062" spans="1:5" x14ac:dyDescent="0.25">
      <c r="A4062" s="60">
        <v>602</v>
      </c>
      <c r="B4062" s="60" t="s">
        <v>119</v>
      </c>
      <c r="C4062" s="60">
        <v>110</v>
      </c>
      <c r="D4062" s="60">
        <v>0</v>
      </c>
      <c r="E4062" s="60">
        <f t="shared" si="63"/>
        <v>0</v>
      </c>
    </row>
    <row r="4063" spans="1:5" x14ac:dyDescent="0.25">
      <c r="A4063" s="60">
        <v>602</v>
      </c>
      <c r="B4063" s="60" t="s">
        <v>119</v>
      </c>
      <c r="C4063" s="60">
        <v>130</v>
      </c>
      <c r="D4063" s="60">
        <v>0</v>
      </c>
      <c r="E4063" s="60">
        <f t="shared" si="63"/>
        <v>0</v>
      </c>
    </row>
    <row r="4064" spans="1:5" x14ac:dyDescent="0.25">
      <c r="A4064" s="60">
        <v>602</v>
      </c>
      <c r="B4064" s="60" t="s">
        <v>119</v>
      </c>
      <c r="C4064" s="60">
        <v>210</v>
      </c>
      <c r="D4064" s="60">
        <v>0</v>
      </c>
      <c r="E4064" s="60">
        <f t="shared" si="63"/>
        <v>0</v>
      </c>
    </row>
    <row r="4065" spans="1:5" x14ac:dyDescent="0.25">
      <c r="A4065" s="60">
        <v>602</v>
      </c>
      <c r="B4065" s="60" t="s">
        <v>119</v>
      </c>
      <c r="C4065" s="60">
        <v>220</v>
      </c>
      <c r="D4065" s="60">
        <v>0</v>
      </c>
      <c r="E4065" s="60">
        <f t="shared" si="63"/>
        <v>0</v>
      </c>
    </row>
    <row r="4066" spans="1:5" x14ac:dyDescent="0.25">
      <c r="A4066" s="60">
        <v>602</v>
      </c>
      <c r="B4066" s="60" t="s">
        <v>119</v>
      </c>
      <c r="C4066" s="60">
        <v>230</v>
      </c>
      <c r="D4066" s="60">
        <v>0</v>
      </c>
      <c r="E4066" s="60">
        <f t="shared" si="63"/>
        <v>0</v>
      </c>
    </row>
    <row r="4067" spans="1:5" x14ac:dyDescent="0.25">
      <c r="A4067" s="60">
        <v>602</v>
      </c>
      <c r="B4067" s="60" t="s">
        <v>119</v>
      </c>
      <c r="C4067" s="60">
        <v>270</v>
      </c>
      <c r="D4067" s="60">
        <v>0</v>
      </c>
      <c r="E4067" s="60">
        <f t="shared" si="63"/>
        <v>0</v>
      </c>
    </row>
    <row r="4068" spans="1:5" x14ac:dyDescent="0.25">
      <c r="A4068" s="60">
        <v>602</v>
      </c>
      <c r="B4068" s="60" t="s">
        <v>119</v>
      </c>
      <c r="C4068" s="60">
        <v>298</v>
      </c>
      <c r="D4068" s="60">
        <v>0</v>
      </c>
      <c r="E4068" s="60">
        <f t="shared" si="63"/>
        <v>0</v>
      </c>
    </row>
    <row r="4069" spans="1:5" x14ac:dyDescent="0.25">
      <c r="A4069" s="60">
        <v>602</v>
      </c>
      <c r="B4069" s="60" t="s">
        <v>120</v>
      </c>
      <c r="C4069" s="60">
        <v>1</v>
      </c>
      <c r="D4069" s="60">
        <v>0</v>
      </c>
      <c r="E4069" s="60">
        <f t="shared" si="63"/>
        <v>0</v>
      </c>
    </row>
    <row r="4070" spans="1:5" x14ac:dyDescent="0.25">
      <c r="A4070" s="60">
        <v>602</v>
      </c>
      <c r="B4070" s="60" t="s">
        <v>120</v>
      </c>
      <c r="C4070" s="60">
        <v>10</v>
      </c>
      <c r="D4070" s="60">
        <v>0</v>
      </c>
      <c r="E4070" s="60">
        <f t="shared" si="63"/>
        <v>0</v>
      </c>
    </row>
    <row r="4071" spans="1:5" x14ac:dyDescent="0.25">
      <c r="A4071" s="60">
        <v>602</v>
      </c>
      <c r="B4071" s="60" t="s">
        <v>120</v>
      </c>
      <c r="C4071" s="60">
        <v>50</v>
      </c>
      <c r="D4071" s="60">
        <v>0</v>
      </c>
      <c r="E4071" s="60">
        <f t="shared" si="63"/>
        <v>0</v>
      </c>
    </row>
    <row r="4072" spans="1:5" x14ac:dyDescent="0.25">
      <c r="A4072" s="60">
        <v>602</v>
      </c>
      <c r="B4072" s="60" t="s">
        <v>120</v>
      </c>
      <c r="C4072" s="60">
        <v>110</v>
      </c>
      <c r="D4072" s="60">
        <v>0</v>
      </c>
      <c r="E4072" s="60">
        <f t="shared" si="63"/>
        <v>0</v>
      </c>
    </row>
    <row r="4073" spans="1:5" x14ac:dyDescent="0.25">
      <c r="A4073" s="60">
        <v>602</v>
      </c>
      <c r="B4073" s="60" t="s">
        <v>120</v>
      </c>
      <c r="C4073" s="60">
        <v>120</v>
      </c>
      <c r="D4073" s="60">
        <v>0</v>
      </c>
      <c r="E4073" s="60">
        <f t="shared" si="63"/>
        <v>0</v>
      </c>
    </row>
    <row r="4074" spans="1:5" x14ac:dyDescent="0.25">
      <c r="A4074" s="60">
        <v>602</v>
      </c>
      <c r="B4074" s="60" t="s">
        <v>120</v>
      </c>
      <c r="C4074" s="60">
        <v>130</v>
      </c>
      <c r="D4074" s="60">
        <v>0</v>
      </c>
      <c r="E4074" s="60">
        <f t="shared" si="63"/>
        <v>0</v>
      </c>
    </row>
    <row r="4075" spans="1:5" x14ac:dyDescent="0.25">
      <c r="A4075" s="60">
        <v>602</v>
      </c>
      <c r="B4075" s="60" t="s">
        <v>120</v>
      </c>
      <c r="C4075" s="60">
        <v>140</v>
      </c>
      <c r="D4075" s="60">
        <v>0</v>
      </c>
      <c r="E4075" s="60">
        <f t="shared" si="63"/>
        <v>0</v>
      </c>
    </row>
    <row r="4076" spans="1:5" x14ac:dyDescent="0.25">
      <c r="A4076" s="60">
        <v>602</v>
      </c>
      <c r="B4076" s="60" t="s">
        <v>120</v>
      </c>
      <c r="C4076" s="60">
        <v>210</v>
      </c>
      <c r="D4076" s="60">
        <v>0</v>
      </c>
      <c r="E4076" s="60">
        <f t="shared" si="63"/>
        <v>0</v>
      </c>
    </row>
    <row r="4077" spans="1:5" x14ac:dyDescent="0.25">
      <c r="A4077" s="60">
        <v>602</v>
      </c>
      <c r="B4077" s="60" t="s">
        <v>120</v>
      </c>
      <c r="C4077" s="60">
        <v>230</v>
      </c>
      <c r="D4077" s="60">
        <v>0</v>
      </c>
      <c r="E4077" s="60">
        <f t="shared" si="63"/>
        <v>0</v>
      </c>
    </row>
    <row r="4078" spans="1:5" x14ac:dyDescent="0.25">
      <c r="A4078" s="60">
        <v>602</v>
      </c>
      <c r="B4078" s="60" t="s">
        <v>120</v>
      </c>
      <c r="C4078" s="60">
        <v>270</v>
      </c>
      <c r="D4078" s="60">
        <v>0</v>
      </c>
      <c r="E4078" s="60">
        <f t="shared" si="63"/>
        <v>0</v>
      </c>
    </row>
    <row r="4079" spans="1:5" x14ac:dyDescent="0.25">
      <c r="A4079" s="60">
        <v>602</v>
      </c>
      <c r="B4079" s="60" t="s">
        <v>120</v>
      </c>
      <c r="C4079" s="60">
        <v>298</v>
      </c>
      <c r="D4079" s="60">
        <v>0</v>
      </c>
      <c r="E4079" s="60">
        <f t="shared" si="63"/>
        <v>0</v>
      </c>
    </row>
    <row r="4080" spans="1:5" x14ac:dyDescent="0.25">
      <c r="A4080" s="60">
        <v>603</v>
      </c>
      <c r="B4080" s="60" t="s">
        <v>117</v>
      </c>
      <c r="C4080" s="60">
        <v>1</v>
      </c>
      <c r="D4080" s="60">
        <v>0</v>
      </c>
      <c r="E4080" s="60">
        <f t="shared" si="63"/>
        <v>0</v>
      </c>
    </row>
    <row r="4081" spans="1:5" x14ac:dyDescent="0.25">
      <c r="A4081" s="60">
        <v>603</v>
      </c>
      <c r="B4081" s="60" t="s">
        <v>117</v>
      </c>
      <c r="C4081" s="60">
        <v>10</v>
      </c>
      <c r="D4081" s="60">
        <v>0</v>
      </c>
      <c r="E4081" s="60">
        <f t="shared" si="63"/>
        <v>0</v>
      </c>
    </row>
    <row r="4082" spans="1:5" x14ac:dyDescent="0.25">
      <c r="A4082" s="60">
        <v>603</v>
      </c>
      <c r="B4082" s="60" t="s">
        <v>117</v>
      </c>
      <c r="C4082" s="60">
        <v>110</v>
      </c>
      <c r="D4082" s="60">
        <v>0</v>
      </c>
      <c r="E4082" s="60">
        <f t="shared" si="63"/>
        <v>0</v>
      </c>
    </row>
    <row r="4083" spans="1:5" x14ac:dyDescent="0.25">
      <c r="A4083" s="60">
        <v>603</v>
      </c>
      <c r="B4083" s="60" t="s">
        <v>117</v>
      </c>
      <c r="C4083" s="60">
        <v>120</v>
      </c>
      <c r="D4083" s="60">
        <v>0</v>
      </c>
      <c r="E4083" s="60">
        <f t="shared" si="63"/>
        <v>0</v>
      </c>
    </row>
    <row r="4084" spans="1:5" x14ac:dyDescent="0.25">
      <c r="A4084" s="60">
        <v>603</v>
      </c>
      <c r="B4084" s="60" t="s">
        <v>117</v>
      </c>
      <c r="C4084" s="60">
        <v>130</v>
      </c>
      <c r="D4084" s="60">
        <v>0</v>
      </c>
      <c r="E4084" s="60">
        <f t="shared" si="63"/>
        <v>0</v>
      </c>
    </row>
    <row r="4085" spans="1:5" x14ac:dyDescent="0.25">
      <c r="A4085" s="60">
        <v>603</v>
      </c>
      <c r="B4085" s="60" t="s">
        <v>117</v>
      </c>
      <c r="C4085" s="60">
        <v>200</v>
      </c>
      <c r="D4085" s="60">
        <v>0</v>
      </c>
      <c r="E4085" s="60">
        <f t="shared" si="63"/>
        <v>0</v>
      </c>
    </row>
    <row r="4086" spans="1:5" x14ac:dyDescent="0.25">
      <c r="A4086" s="60">
        <v>603</v>
      </c>
      <c r="B4086" s="60" t="s">
        <v>117</v>
      </c>
      <c r="C4086" s="60">
        <v>210</v>
      </c>
      <c r="D4086" s="60">
        <v>0</v>
      </c>
      <c r="E4086" s="60">
        <f t="shared" si="63"/>
        <v>0</v>
      </c>
    </row>
    <row r="4087" spans="1:5" x14ac:dyDescent="0.25">
      <c r="A4087" s="60">
        <v>603</v>
      </c>
      <c r="B4087" s="60" t="s">
        <v>117</v>
      </c>
      <c r="C4087" s="60">
        <v>230</v>
      </c>
      <c r="D4087" s="60">
        <v>0</v>
      </c>
      <c r="E4087" s="60">
        <f t="shared" si="63"/>
        <v>0</v>
      </c>
    </row>
    <row r="4088" spans="1:5" x14ac:dyDescent="0.25">
      <c r="A4088" s="60">
        <v>603</v>
      </c>
      <c r="B4088" s="60" t="s">
        <v>117</v>
      </c>
      <c r="C4088" s="60">
        <v>270</v>
      </c>
      <c r="D4088" s="60">
        <v>0</v>
      </c>
      <c r="E4088" s="60">
        <f t="shared" si="63"/>
        <v>0</v>
      </c>
    </row>
    <row r="4089" spans="1:5" x14ac:dyDescent="0.25">
      <c r="A4089" s="60">
        <v>603</v>
      </c>
      <c r="B4089" s="60" t="s">
        <v>117</v>
      </c>
      <c r="C4089" s="60">
        <v>298</v>
      </c>
      <c r="D4089" s="60">
        <v>0</v>
      </c>
      <c r="E4089" s="60">
        <f t="shared" si="63"/>
        <v>0</v>
      </c>
    </row>
    <row r="4090" spans="1:5" x14ac:dyDescent="0.25">
      <c r="A4090" s="60">
        <v>603</v>
      </c>
      <c r="B4090" s="60" t="s">
        <v>118</v>
      </c>
      <c r="C4090" s="60">
        <v>1</v>
      </c>
      <c r="D4090" s="60">
        <v>0</v>
      </c>
      <c r="E4090" s="60">
        <f t="shared" si="63"/>
        <v>0</v>
      </c>
    </row>
    <row r="4091" spans="1:5" x14ac:dyDescent="0.25">
      <c r="A4091" s="60">
        <v>603</v>
      </c>
      <c r="B4091" s="60" t="s">
        <v>118</v>
      </c>
      <c r="C4091" s="60">
        <v>10</v>
      </c>
      <c r="D4091" s="60">
        <v>0</v>
      </c>
      <c r="E4091" s="60">
        <f t="shared" si="63"/>
        <v>0</v>
      </c>
    </row>
    <row r="4092" spans="1:5" x14ac:dyDescent="0.25">
      <c r="A4092" s="60">
        <v>603</v>
      </c>
      <c r="B4092" s="60" t="s">
        <v>118</v>
      </c>
      <c r="C4092" s="60">
        <v>110</v>
      </c>
      <c r="D4092" s="60">
        <v>0</v>
      </c>
      <c r="E4092" s="60">
        <f t="shared" si="63"/>
        <v>0</v>
      </c>
    </row>
    <row r="4093" spans="1:5" x14ac:dyDescent="0.25">
      <c r="A4093" s="60">
        <v>603</v>
      </c>
      <c r="B4093" s="60" t="s">
        <v>118</v>
      </c>
      <c r="C4093" s="60">
        <v>130</v>
      </c>
      <c r="D4093" s="60">
        <v>0</v>
      </c>
      <c r="E4093" s="60">
        <f t="shared" si="63"/>
        <v>0</v>
      </c>
    </row>
    <row r="4094" spans="1:5" x14ac:dyDescent="0.25">
      <c r="A4094" s="60">
        <v>603</v>
      </c>
      <c r="B4094" s="60" t="s">
        <v>118</v>
      </c>
      <c r="C4094" s="60">
        <v>230</v>
      </c>
      <c r="D4094" s="60">
        <v>0</v>
      </c>
      <c r="E4094" s="60">
        <f t="shared" si="63"/>
        <v>0</v>
      </c>
    </row>
    <row r="4095" spans="1:5" x14ac:dyDescent="0.25">
      <c r="A4095" s="60">
        <v>603</v>
      </c>
      <c r="B4095" s="60" t="s">
        <v>118</v>
      </c>
      <c r="C4095" s="60">
        <v>270</v>
      </c>
      <c r="D4095" s="60">
        <v>0</v>
      </c>
      <c r="E4095" s="60">
        <f t="shared" si="63"/>
        <v>0</v>
      </c>
    </row>
    <row r="4096" spans="1:5" x14ac:dyDescent="0.25">
      <c r="A4096" s="60">
        <v>603</v>
      </c>
      <c r="B4096" s="60" t="s">
        <v>118</v>
      </c>
      <c r="C4096" s="60">
        <v>298</v>
      </c>
      <c r="D4096" s="60">
        <v>0</v>
      </c>
      <c r="E4096" s="60">
        <f t="shared" si="63"/>
        <v>0</v>
      </c>
    </row>
    <row r="4097" spans="1:5" x14ac:dyDescent="0.25">
      <c r="A4097" s="60">
        <v>603</v>
      </c>
      <c r="B4097" s="60" t="s">
        <v>119</v>
      </c>
      <c r="C4097" s="60">
        <v>1</v>
      </c>
      <c r="D4097" s="60">
        <v>0</v>
      </c>
      <c r="E4097" s="60">
        <f t="shared" si="63"/>
        <v>0</v>
      </c>
    </row>
    <row r="4098" spans="1:5" x14ac:dyDescent="0.25">
      <c r="A4098" s="60">
        <v>603</v>
      </c>
      <c r="B4098" s="60" t="s">
        <v>119</v>
      </c>
      <c r="C4098" s="60">
        <v>10</v>
      </c>
      <c r="D4098" s="60">
        <v>0</v>
      </c>
      <c r="E4098" s="60">
        <f t="shared" ref="E4098:E4160" si="64">IF(C4098&lt;100,D4098,D4098*-1)</f>
        <v>0</v>
      </c>
    </row>
    <row r="4099" spans="1:5" x14ac:dyDescent="0.25">
      <c r="A4099" s="60">
        <v>603</v>
      </c>
      <c r="B4099" s="60" t="s">
        <v>119</v>
      </c>
      <c r="C4099" s="60">
        <v>20</v>
      </c>
      <c r="D4099" s="60">
        <v>0</v>
      </c>
      <c r="E4099" s="60">
        <f t="shared" si="64"/>
        <v>0</v>
      </c>
    </row>
    <row r="4100" spans="1:5" x14ac:dyDescent="0.25">
      <c r="A4100" s="60">
        <v>603</v>
      </c>
      <c r="B4100" s="60" t="s">
        <v>119</v>
      </c>
      <c r="C4100" s="60">
        <v>110</v>
      </c>
      <c r="D4100" s="60">
        <v>0</v>
      </c>
      <c r="E4100" s="60">
        <f t="shared" si="64"/>
        <v>0</v>
      </c>
    </row>
    <row r="4101" spans="1:5" x14ac:dyDescent="0.25">
      <c r="A4101" s="60">
        <v>603</v>
      </c>
      <c r="B4101" s="60" t="s">
        <v>119</v>
      </c>
      <c r="C4101" s="60">
        <v>130</v>
      </c>
      <c r="D4101" s="60">
        <v>0</v>
      </c>
      <c r="E4101" s="60">
        <f t="shared" si="64"/>
        <v>0</v>
      </c>
    </row>
    <row r="4102" spans="1:5" x14ac:dyDescent="0.25">
      <c r="A4102" s="60">
        <v>603</v>
      </c>
      <c r="B4102" s="60" t="s">
        <v>119</v>
      </c>
      <c r="C4102" s="60">
        <v>140</v>
      </c>
      <c r="D4102" s="60">
        <v>0</v>
      </c>
      <c r="E4102" s="60">
        <f t="shared" si="64"/>
        <v>0</v>
      </c>
    </row>
    <row r="4103" spans="1:5" x14ac:dyDescent="0.25">
      <c r="A4103" s="60">
        <v>603</v>
      </c>
      <c r="B4103" s="60" t="s">
        <v>119</v>
      </c>
      <c r="C4103" s="60">
        <v>210</v>
      </c>
      <c r="D4103" s="60">
        <v>0</v>
      </c>
      <c r="E4103" s="60">
        <f t="shared" si="64"/>
        <v>0</v>
      </c>
    </row>
    <row r="4104" spans="1:5" x14ac:dyDescent="0.25">
      <c r="A4104" s="60">
        <v>603</v>
      </c>
      <c r="B4104" s="60" t="s">
        <v>119</v>
      </c>
      <c r="C4104" s="60">
        <v>230</v>
      </c>
      <c r="D4104" s="60">
        <v>0</v>
      </c>
      <c r="E4104" s="60">
        <f t="shared" si="64"/>
        <v>0</v>
      </c>
    </row>
    <row r="4105" spans="1:5" x14ac:dyDescent="0.25">
      <c r="A4105" s="60">
        <v>603</v>
      </c>
      <c r="B4105" s="60" t="s">
        <v>119</v>
      </c>
      <c r="C4105" s="60">
        <v>270</v>
      </c>
      <c r="D4105" s="60">
        <v>0</v>
      </c>
      <c r="E4105" s="60">
        <f t="shared" si="64"/>
        <v>0</v>
      </c>
    </row>
    <row r="4106" spans="1:5" x14ac:dyDescent="0.25">
      <c r="A4106" s="60">
        <v>603</v>
      </c>
      <c r="B4106" s="60" t="s">
        <v>119</v>
      </c>
      <c r="C4106" s="60">
        <v>298</v>
      </c>
      <c r="D4106" s="60">
        <v>0</v>
      </c>
      <c r="E4106" s="60">
        <f t="shared" si="64"/>
        <v>0</v>
      </c>
    </row>
    <row r="4107" spans="1:5" x14ac:dyDescent="0.25">
      <c r="A4107" s="60">
        <v>603</v>
      </c>
      <c r="B4107" s="60" t="s">
        <v>120</v>
      </c>
      <c r="C4107" s="60">
        <v>1</v>
      </c>
      <c r="D4107" s="60">
        <v>0</v>
      </c>
      <c r="E4107" s="60">
        <f t="shared" si="64"/>
        <v>0</v>
      </c>
    </row>
    <row r="4108" spans="1:5" x14ac:dyDescent="0.25">
      <c r="A4108" s="60">
        <v>603</v>
      </c>
      <c r="B4108" s="60" t="s">
        <v>120</v>
      </c>
      <c r="C4108" s="60">
        <v>10</v>
      </c>
      <c r="D4108" s="60">
        <v>0</v>
      </c>
      <c r="E4108" s="60">
        <f t="shared" si="64"/>
        <v>0</v>
      </c>
    </row>
    <row r="4109" spans="1:5" x14ac:dyDescent="0.25">
      <c r="A4109" s="60">
        <v>603</v>
      </c>
      <c r="B4109" s="60" t="s">
        <v>120</v>
      </c>
      <c r="C4109" s="60">
        <v>130</v>
      </c>
      <c r="D4109" s="60">
        <v>0</v>
      </c>
      <c r="E4109" s="60">
        <f t="shared" si="64"/>
        <v>0</v>
      </c>
    </row>
    <row r="4110" spans="1:5" x14ac:dyDescent="0.25">
      <c r="A4110" s="60">
        <v>603</v>
      </c>
      <c r="B4110" s="60" t="s">
        <v>120</v>
      </c>
      <c r="C4110" s="60">
        <v>140</v>
      </c>
      <c r="D4110" s="60">
        <v>0</v>
      </c>
      <c r="E4110" s="60">
        <f t="shared" si="64"/>
        <v>0</v>
      </c>
    </row>
    <row r="4111" spans="1:5" x14ac:dyDescent="0.25">
      <c r="A4111" s="60">
        <v>603</v>
      </c>
      <c r="B4111" s="60" t="s">
        <v>120</v>
      </c>
      <c r="C4111" s="60">
        <v>210</v>
      </c>
      <c r="D4111" s="60">
        <v>0</v>
      </c>
      <c r="E4111" s="60">
        <f t="shared" si="64"/>
        <v>0</v>
      </c>
    </row>
    <row r="4112" spans="1:5" x14ac:dyDescent="0.25">
      <c r="A4112" s="60">
        <v>603</v>
      </c>
      <c r="B4112" s="60" t="s">
        <v>120</v>
      </c>
      <c r="C4112" s="60">
        <v>230</v>
      </c>
      <c r="D4112" s="60">
        <v>0</v>
      </c>
      <c r="E4112" s="60">
        <f t="shared" si="64"/>
        <v>0</v>
      </c>
    </row>
    <row r="4113" spans="1:11" x14ac:dyDescent="0.25">
      <c r="A4113" s="60">
        <v>603</v>
      </c>
      <c r="B4113" s="60" t="s">
        <v>120</v>
      </c>
      <c r="C4113" s="60">
        <v>270</v>
      </c>
      <c r="D4113" s="60">
        <v>0</v>
      </c>
      <c r="E4113" s="60">
        <f t="shared" si="64"/>
        <v>0</v>
      </c>
    </row>
    <row r="4114" spans="1:11" x14ac:dyDescent="0.25">
      <c r="A4114" s="60">
        <v>603</v>
      </c>
      <c r="B4114" s="60" t="s">
        <v>120</v>
      </c>
      <c r="C4114" s="60">
        <v>298</v>
      </c>
      <c r="D4114" s="60">
        <v>0</v>
      </c>
      <c r="E4114" s="60">
        <f t="shared" si="64"/>
        <v>0</v>
      </c>
    </row>
    <row r="4115" spans="1:11" x14ac:dyDescent="0.25">
      <c r="A4115" s="60">
        <v>605</v>
      </c>
      <c r="B4115" s="60" t="s">
        <v>117</v>
      </c>
      <c r="C4115" s="60">
        <v>1</v>
      </c>
      <c r="D4115" s="60">
        <v>0</v>
      </c>
      <c r="E4115" s="60">
        <f t="shared" si="64"/>
        <v>0</v>
      </c>
    </row>
    <row r="4116" spans="1:11" x14ac:dyDescent="0.25">
      <c r="A4116" s="60">
        <v>605</v>
      </c>
      <c r="B4116" s="60" t="s">
        <v>117</v>
      </c>
      <c r="C4116" s="60">
        <v>10</v>
      </c>
      <c r="D4116" s="60">
        <v>0</v>
      </c>
      <c r="E4116" s="60">
        <f t="shared" si="64"/>
        <v>0</v>
      </c>
    </row>
    <row r="4117" spans="1:11" x14ac:dyDescent="0.25">
      <c r="A4117" s="60">
        <v>605</v>
      </c>
      <c r="B4117" s="60" t="s">
        <v>117</v>
      </c>
      <c r="C4117" s="60">
        <v>20</v>
      </c>
      <c r="D4117" s="60">
        <v>0</v>
      </c>
      <c r="E4117" s="60">
        <f t="shared" si="64"/>
        <v>0</v>
      </c>
    </row>
    <row r="4118" spans="1:11" x14ac:dyDescent="0.25">
      <c r="A4118" s="60">
        <v>605</v>
      </c>
      <c r="B4118" s="60" t="s">
        <v>117</v>
      </c>
      <c r="C4118" s="60">
        <v>110</v>
      </c>
      <c r="D4118" s="60">
        <v>0</v>
      </c>
      <c r="E4118" s="60">
        <f t="shared" si="64"/>
        <v>0</v>
      </c>
    </row>
    <row r="4119" spans="1:11" x14ac:dyDescent="0.25">
      <c r="A4119" s="60">
        <v>605</v>
      </c>
      <c r="B4119" s="60" t="s">
        <v>117</v>
      </c>
      <c r="C4119" s="60">
        <v>120</v>
      </c>
      <c r="D4119" s="60">
        <v>0</v>
      </c>
      <c r="E4119" s="60">
        <f t="shared" si="64"/>
        <v>0</v>
      </c>
    </row>
    <row r="4120" spans="1:11" x14ac:dyDescent="0.25">
      <c r="A4120" s="60">
        <v>605</v>
      </c>
      <c r="B4120" s="60" t="s">
        <v>117</v>
      </c>
      <c r="C4120" s="60">
        <v>130</v>
      </c>
      <c r="D4120" s="60">
        <v>0</v>
      </c>
      <c r="E4120" s="60">
        <f t="shared" si="64"/>
        <v>0</v>
      </c>
    </row>
    <row r="4121" spans="1:11" x14ac:dyDescent="0.25">
      <c r="A4121" s="60">
        <v>605</v>
      </c>
      <c r="B4121" s="60" t="s">
        <v>117</v>
      </c>
      <c r="C4121" s="60">
        <v>140</v>
      </c>
      <c r="D4121" s="60">
        <v>0</v>
      </c>
      <c r="E4121" s="60">
        <f t="shared" si="64"/>
        <v>0</v>
      </c>
    </row>
    <row r="4122" spans="1:11" x14ac:dyDescent="0.25">
      <c r="A4122" s="60">
        <v>605</v>
      </c>
      <c r="B4122" s="60" t="s">
        <v>117</v>
      </c>
      <c r="C4122" s="60">
        <v>200</v>
      </c>
      <c r="D4122" s="60">
        <v>0</v>
      </c>
      <c r="E4122" s="60">
        <f t="shared" si="64"/>
        <v>0</v>
      </c>
    </row>
    <row r="4123" spans="1:11" x14ac:dyDescent="0.25">
      <c r="A4123" s="60">
        <v>605</v>
      </c>
      <c r="B4123" s="60" t="s">
        <v>117</v>
      </c>
      <c r="C4123" s="60">
        <v>210</v>
      </c>
      <c r="D4123" s="60">
        <v>0</v>
      </c>
      <c r="E4123" s="60">
        <f t="shared" si="64"/>
        <v>0</v>
      </c>
    </row>
    <row r="4124" spans="1:11" x14ac:dyDescent="0.25">
      <c r="A4124" s="60">
        <v>605</v>
      </c>
      <c r="B4124" s="60" t="s">
        <v>117</v>
      </c>
      <c r="C4124" s="60">
        <v>270</v>
      </c>
      <c r="D4124" s="60">
        <v>0</v>
      </c>
      <c r="E4124" s="60">
        <f t="shared" si="64"/>
        <v>0</v>
      </c>
    </row>
    <row r="4125" spans="1:11" x14ac:dyDescent="0.25">
      <c r="A4125" s="60">
        <v>605</v>
      </c>
      <c r="B4125" s="60" t="s">
        <v>117</v>
      </c>
      <c r="C4125" s="60">
        <v>298</v>
      </c>
      <c r="D4125" s="60">
        <v>0</v>
      </c>
      <c r="E4125" s="60">
        <f t="shared" si="64"/>
        <v>0</v>
      </c>
    </row>
    <row r="4126" spans="1:11" ht="14.4" x14ac:dyDescent="0.3">
      <c r="A4126" s="135">
        <v>605</v>
      </c>
      <c r="B4126" s="135" t="s">
        <v>118</v>
      </c>
      <c r="C4126" s="136">
        <v>1</v>
      </c>
      <c r="D4126" s="135">
        <v>0</v>
      </c>
      <c r="E4126" s="60">
        <f t="shared" si="64"/>
        <v>0</v>
      </c>
      <c r="F4126" s="124" t="s">
        <v>200</v>
      </c>
      <c r="G4126" s="125" t="s">
        <v>201</v>
      </c>
      <c r="H4126" s="126" t="s">
        <v>202</v>
      </c>
      <c r="I4126" s="126" t="s">
        <v>203</v>
      </c>
      <c r="J4126" s="126" t="s">
        <v>204</v>
      </c>
      <c r="K4126" s="127" t="s">
        <v>205</v>
      </c>
    </row>
    <row r="4127" spans="1:11" ht="14.4" x14ac:dyDescent="0.3">
      <c r="A4127" s="60">
        <v>605</v>
      </c>
      <c r="B4127" s="60" t="s">
        <v>118</v>
      </c>
      <c r="C4127" s="133">
        <v>10</v>
      </c>
      <c r="D4127" s="60">
        <v>0</v>
      </c>
      <c r="E4127" s="60">
        <f t="shared" si="64"/>
        <v>0</v>
      </c>
      <c r="F4127" s="124"/>
      <c r="G4127" s="124"/>
      <c r="H4127" s="128"/>
      <c r="I4127" s="128"/>
      <c r="J4127" s="128"/>
      <c r="K4127" s="128"/>
    </row>
    <row r="4128" spans="1:11" ht="14.4" x14ac:dyDescent="0.3">
      <c r="A4128" s="60">
        <v>605</v>
      </c>
      <c r="B4128" s="60" t="s">
        <v>118</v>
      </c>
      <c r="C4128" s="133">
        <v>20</v>
      </c>
      <c r="D4128" s="60">
        <v>0</v>
      </c>
      <c r="E4128" s="60">
        <f t="shared" si="64"/>
        <v>0</v>
      </c>
      <c r="F4128" s="124"/>
      <c r="G4128" s="124"/>
      <c r="H4128" s="128"/>
      <c r="I4128" s="128"/>
      <c r="J4128" s="128"/>
      <c r="K4128" s="128"/>
    </row>
    <row r="4129" spans="1:11" ht="14.4" x14ac:dyDescent="0.3">
      <c r="A4129" s="60">
        <v>605</v>
      </c>
      <c r="B4129" s="60" t="s">
        <v>118</v>
      </c>
      <c r="C4129" s="133">
        <v>110</v>
      </c>
      <c r="D4129" s="60">
        <v>0</v>
      </c>
      <c r="E4129" s="60">
        <f t="shared" si="64"/>
        <v>0</v>
      </c>
      <c r="F4129" s="129" t="s">
        <v>207</v>
      </c>
      <c r="G4129" s="129"/>
      <c r="H4129" s="129"/>
      <c r="I4129" s="129"/>
      <c r="J4129" s="129"/>
      <c r="K4129" s="129"/>
    </row>
    <row r="4130" spans="1:11" ht="14.4" x14ac:dyDescent="0.3">
      <c r="A4130" s="60">
        <v>605</v>
      </c>
      <c r="B4130" s="60" t="s">
        <v>118</v>
      </c>
      <c r="C4130" s="133">
        <v>120</v>
      </c>
      <c r="D4130" s="60">
        <v>0</v>
      </c>
      <c r="E4130" s="60">
        <f t="shared" si="64"/>
        <v>0</v>
      </c>
      <c r="F4130" s="129" t="s">
        <v>209</v>
      </c>
      <c r="G4130" s="129"/>
      <c r="H4130" s="129"/>
      <c r="I4130" s="129"/>
      <c r="J4130" s="129"/>
      <c r="K4130" s="129"/>
    </row>
    <row r="4131" spans="1:11" ht="14.4" x14ac:dyDescent="0.3">
      <c r="A4131" s="60">
        <v>605</v>
      </c>
      <c r="B4131" s="60" t="s">
        <v>118</v>
      </c>
      <c r="C4131" s="133">
        <v>130</v>
      </c>
      <c r="D4131" s="60">
        <v>0</v>
      </c>
      <c r="E4131" s="60">
        <f t="shared" si="64"/>
        <v>0</v>
      </c>
      <c r="F4131" s="129" t="s">
        <v>209</v>
      </c>
      <c r="G4131" s="129"/>
      <c r="H4131" s="129"/>
      <c r="I4131" s="129"/>
      <c r="J4131" s="129"/>
      <c r="K4131" s="129"/>
    </row>
    <row r="4132" spans="1:11" ht="14.4" x14ac:dyDescent="0.3">
      <c r="A4132" s="60">
        <v>605</v>
      </c>
      <c r="B4132" s="60" t="s">
        <v>118</v>
      </c>
      <c r="C4132" s="133">
        <v>230</v>
      </c>
      <c r="D4132" s="60">
        <v>0</v>
      </c>
      <c r="E4132" s="60">
        <f t="shared" si="64"/>
        <v>0</v>
      </c>
      <c r="F4132" s="129" t="s">
        <v>209</v>
      </c>
      <c r="G4132" s="129"/>
      <c r="H4132" s="129"/>
      <c r="I4132" s="129"/>
      <c r="J4132" s="129"/>
      <c r="K4132" s="129"/>
    </row>
    <row r="4133" spans="1:11" ht="14.4" x14ac:dyDescent="0.3">
      <c r="A4133" s="60">
        <v>605</v>
      </c>
      <c r="B4133" s="60" t="s">
        <v>118</v>
      </c>
      <c r="C4133" s="133">
        <v>270</v>
      </c>
      <c r="D4133" s="60">
        <v>0</v>
      </c>
      <c r="E4133" s="60">
        <f t="shared" si="64"/>
        <v>0</v>
      </c>
      <c r="F4133" s="129" t="s">
        <v>209</v>
      </c>
      <c r="G4133" s="129"/>
      <c r="H4133" s="129"/>
      <c r="I4133" s="129"/>
      <c r="J4133" s="129"/>
      <c r="K4133" s="129"/>
    </row>
    <row r="4134" spans="1:11" ht="14.4" x14ac:dyDescent="0.3">
      <c r="A4134" s="60">
        <v>605</v>
      </c>
      <c r="B4134" s="60" t="s">
        <v>118</v>
      </c>
      <c r="C4134" s="133">
        <v>298</v>
      </c>
      <c r="D4134" s="60">
        <v>0</v>
      </c>
      <c r="E4134" s="60">
        <f t="shared" si="64"/>
        <v>0</v>
      </c>
      <c r="F4134" s="129" t="s">
        <v>209</v>
      </c>
      <c r="G4134" s="129"/>
      <c r="H4134" s="129"/>
      <c r="I4134" s="129"/>
      <c r="J4134" s="129"/>
      <c r="K4134" s="129"/>
    </row>
    <row r="4135" spans="1:11" ht="14.4" x14ac:dyDescent="0.3">
      <c r="A4135" s="60">
        <v>605</v>
      </c>
      <c r="B4135" s="60" t="s">
        <v>119</v>
      </c>
      <c r="C4135" s="133">
        <v>1</v>
      </c>
      <c r="D4135" s="60">
        <v>0</v>
      </c>
      <c r="E4135" s="60">
        <f t="shared" si="64"/>
        <v>0</v>
      </c>
      <c r="F4135" s="129" t="s">
        <v>209</v>
      </c>
      <c r="G4135" s="129"/>
      <c r="H4135" s="129"/>
      <c r="I4135" s="129"/>
      <c r="J4135" s="129"/>
      <c r="K4135" s="129"/>
    </row>
    <row r="4136" spans="1:11" ht="14.4" x14ac:dyDescent="0.3">
      <c r="A4136" s="60">
        <v>605</v>
      </c>
      <c r="B4136" s="60" t="s">
        <v>119</v>
      </c>
      <c r="C4136" s="133">
        <v>10</v>
      </c>
      <c r="D4136" s="60">
        <v>0</v>
      </c>
      <c r="E4136" s="60">
        <f t="shared" si="64"/>
        <v>0</v>
      </c>
      <c r="F4136" s="129" t="s">
        <v>209</v>
      </c>
      <c r="G4136" s="129"/>
      <c r="H4136" s="129"/>
      <c r="I4136" s="129"/>
      <c r="J4136" s="129"/>
      <c r="K4136" s="129"/>
    </row>
    <row r="4137" spans="1:11" ht="14.4" x14ac:dyDescent="0.3">
      <c r="A4137" s="60">
        <v>605</v>
      </c>
      <c r="B4137" s="60" t="s">
        <v>119</v>
      </c>
      <c r="C4137" s="133">
        <v>110</v>
      </c>
      <c r="D4137" s="60">
        <v>0</v>
      </c>
      <c r="E4137" s="60">
        <f t="shared" si="64"/>
        <v>0</v>
      </c>
      <c r="F4137" s="129" t="s">
        <v>209</v>
      </c>
      <c r="G4137" s="129"/>
      <c r="H4137" s="129"/>
      <c r="I4137" s="129"/>
      <c r="J4137" s="129"/>
      <c r="K4137" s="129"/>
    </row>
    <row r="4138" spans="1:11" ht="14.4" x14ac:dyDescent="0.3">
      <c r="A4138" s="60">
        <v>605</v>
      </c>
      <c r="B4138" s="60" t="s">
        <v>119</v>
      </c>
      <c r="C4138" s="133">
        <v>130</v>
      </c>
      <c r="D4138" s="60">
        <v>0</v>
      </c>
      <c r="E4138" s="60">
        <f t="shared" si="64"/>
        <v>0</v>
      </c>
      <c r="F4138" s="129"/>
      <c r="G4138" s="129"/>
      <c r="H4138" s="129"/>
      <c r="I4138" s="129"/>
      <c r="J4138" s="129"/>
      <c r="K4138" s="129"/>
    </row>
    <row r="4139" spans="1:11" ht="14.4" x14ac:dyDescent="0.3">
      <c r="A4139" s="60">
        <v>605</v>
      </c>
      <c r="B4139" s="60" t="s">
        <v>119</v>
      </c>
      <c r="C4139" s="133">
        <v>140</v>
      </c>
      <c r="D4139" s="60">
        <v>0</v>
      </c>
      <c r="E4139" s="60">
        <f t="shared" si="64"/>
        <v>0</v>
      </c>
      <c r="F4139" s="129"/>
      <c r="G4139" s="129"/>
      <c r="H4139" s="129"/>
      <c r="I4139" s="129"/>
      <c r="J4139" s="129"/>
      <c r="K4139" s="129"/>
    </row>
    <row r="4140" spans="1:11" ht="14.4" x14ac:dyDescent="0.3">
      <c r="A4140" s="60">
        <v>605</v>
      </c>
      <c r="B4140" s="60" t="s">
        <v>119</v>
      </c>
      <c r="C4140" s="133">
        <v>210</v>
      </c>
      <c r="D4140" s="60">
        <v>0</v>
      </c>
      <c r="E4140" s="60">
        <f t="shared" si="64"/>
        <v>0</v>
      </c>
      <c r="F4140" s="129" t="s">
        <v>219</v>
      </c>
      <c r="G4140" s="129" t="s">
        <v>220</v>
      </c>
      <c r="H4140" s="129" t="s">
        <v>221</v>
      </c>
      <c r="I4140" s="131">
        <v>0.2</v>
      </c>
      <c r="J4140" s="131">
        <v>0.25</v>
      </c>
      <c r="K4140" s="129">
        <v>4</v>
      </c>
    </row>
    <row r="4141" spans="1:11" ht="14.4" x14ac:dyDescent="0.3">
      <c r="A4141" s="60">
        <v>605</v>
      </c>
      <c r="B4141" s="60" t="s">
        <v>119</v>
      </c>
      <c r="C4141" s="133">
        <v>220</v>
      </c>
      <c r="D4141" s="60">
        <v>0</v>
      </c>
      <c r="E4141" s="60">
        <f t="shared" si="64"/>
        <v>0</v>
      </c>
      <c r="F4141" s="129"/>
      <c r="G4141" s="129" t="s">
        <v>220</v>
      </c>
      <c r="H4141" s="129" t="s">
        <v>188</v>
      </c>
      <c r="I4141" s="131">
        <v>0.2</v>
      </c>
      <c r="J4141" s="131">
        <v>0.25</v>
      </c>
      <c r="K4141" s="129">
        <v>6</v>
      </c>
    </row>
    <row r="4142" spans="1:11" ht="14.4" x14ac:dyDescent="0.3">
      <c r="A4142" s="60">
        <v>605</v>
      </c>
      <c r="B4142" s="60" t="s">
        <v>119</v>
      </c>
      <c r="C4142" s="133">
        <v>230</v>
      </c>
      <c r="D4142" s="60">
        <v>0</v>
      </c>
      <c r="E4142" s="60">
        <f t="shared" si="64"/>
        <v>0</v>
      </c>
      <c r="F4142" s="129"/>
      <c r="G4142" s="129"/>
      <c r="H4142" s="129"/>
      <c r="I4142" s="131"/>
      <c r="J4142" s="131"/>
      <c r="K4142" s="129"/>
    </row>
    <row r="4143" spans="1:11" ht="14.4" x14ac:dyDescent="0.3">
      <c r="A4143" s="60">
        <v>605</v>
      </c>
      <c r="B4143" s="60" t="s">
        <v>119</v>
      </c>
      <c r="C4143" s="133">
        <v>270</v>
      </c>
      <c r="D4143" s="60">
        <v>0</v>
      </c>
      <c r="E4143" s="60">
        <f t="shared" si="64"/>
        <v>0</v>
      </c>
      <c r="F4143" s="129" t="s">
        <v>209</v>
      </c>
      <c r="G4143" s="129" t="s">
        <v>223</v>
      </c>
      <c r="H4143" s="129" t="s">
        <v>224</v>
      </c>
      <c r="I4143" s="129">
        <v>0.25</v>
      </c>
      <c r="J4143" s="131">
        <v>0.3</v>
      </c>
      <c r="K4143" s="129">
        <v>1</v>
      </c>
    </row>
    <row r="4144" spans="1:11" ht="14.4" x14ac:dyDescent="0.3">
      <c r="A4144" s="60">
        <v>605</v>
      </c>
      <c r="B4144" s="60" t="s">
        <v>119</v>
      </c>
      <c r="C4144" s="133">
        <v>298</v>
      </c>
      <c r="D4144" s="60">
        <v>0</v>
      </c>
      <c r="E4144" s="60">
        <f t="shared" si="64"/>
        <v>0</v>
      </c>
      <c r="F4144" s="129"/>
      <c r="G4144" s="129" t="s">
        <v>223</v>
      </c>
      <c r="H4144" s="129" t="s">
        <v>225</v>
      </c>
      <c r="I4144" s="132">
        <v>0.28000000000000003</v>
      </c>
      <c r="J4144" s="131">
        <v>0.3</v>
      </c>
      <c r="K4144" s="129">
        <v>2</v>
      </c>
    </row>
    <row r="4145" spans="1:11" ht="14.4" x14ac:dyDescent="0.3">
      <c r="A4145" s="60">
        <v>605</v>
      </c>
      <c r="B4145" s="60" t="s">
        <v>120</v>
      </c>
      <c r="C4145" s="133">
        <v>1</v>
      </c>
      <c r="D4145" s="60">
        <v>0</v>
      </c>
      <c r="E4145" s="60">
        <f t="shared" si="64"/>
        <v>0</v>
      </c>
      <c r="F4145" s="129"/>
      <c r="G4145" s="129"/>
      <c r="H4145" s="129"/>
      <c r="I4145" s="129"/>
      <c r="J4145" s="129"/>
      <c r="K4145" s="129"/>
    </row>
    <row r="4146" spans="1:11" ht="14.4" x14ac:dyDescent="0.3">
      <c r="A4146" s="60">
        <v>605</v>
      </c>
      <c r="B4146" s="60" t="s">
        <v>120</v>
      </c>
      <c r="C4146" s="133">
        <v>10</v>
      </c>
      <c r="D4146" s="60">
        <v>0</v>
      </c>
      <c r="E4146" s="60">
        <f t="shared" si="64"/>
        <v>0</v>
      </c>
      <c r="F4146" s="129"/>
      <c r="G4146" s="129"/>
      <c r="H4146" s="129"/>
      <c r="I4146" s="129"/>
      <c r="J4146" s="129"/>
      <c r="K4146" s="129"/>
    </row>
    <row r="4147" spans="1:11" x14ac:dyDescent="0.25">
      <c r="A4147" s="60">
        <v>605</v>
      </c>
      <c r="B4147" s="60" t="s">
        <v>120</v>
      </c>
      <c r="C4147" s="133">
        <v>110</v>
      </c>
      <c r="D4147" s="60">
        <v>0</v>
      </c>
      <c r="E4147" s="60">
        <f t="shared" si="64"/>
        <v>0</v>
      </c>
    </row>
    <row r="4148" spans="1:11" x14ac:dyDescent="0.25">
      <c r="A4148" s="60">
        <v>605</v>
      </c>
      <c r="B4148" s="60" t="s">
        <v>120</v>
      </c>
      <c r="C4148" s="133">
        <v>120</v>
      </c>
      <c r="D4148" s="60">
        <v>0</v>
      </c>
      <c r="E4148" s="60">
        <f t="shared" si="64"/>
        <v>0</v>
      </c>
    </row>
    <row r="4149" spans="1:11" x14ac:dyDescent="0.25">
      <c r="A4149" s="60">
        <v>605</v>
      </c>
      <c r="B4149" s="60" t="s">
        <v>120</v>
      </c>
      <c r="C4149" s="133">
        <v>130</v>
      </c>
      <c r="D4149" s="60">
        <v>0</v>
      </c>
      <c r="E4149" s="60">
        <f t="shared" si="64"/>
        <v>0</v>
      </c>
    </row>
    <row r="4150" spans="1:11" x14ac:dyDescent="0.25">
      <c r="A4150" s="60">
        <v>605</v>
      </c>
      <c r="B4150" s="60" t="s">
        <v>120</v>
      </c>
      <c r="C4150" s="133">
        <v>140</v>
      </c>
      <c r="D4150" s="60">
        <v>0</v>
      </c>
      <c r="E4150" s="60">
        <f t="shared" si="64"/>
        <v>0</v>
      </c>
    </row>
    <row r="4151" spans="1:11" x14ac:dyDescent="0.25">
      <c r="A4151" s="60">
        <v>605</v>
      </c>
      <c r="B4151" s="60" t="s">
        <v>120</v>
      </c>
      <c r="C4151" s="133">
        <v>210</v>
      </c>
      <c r="D4151" s="60">
        <v>0</v>
      </c>
      <c r="E4151" s="60">
        <f t="shared" si="64"/>
        <v>0</v>
      </c>
    </row>
    <row r="4152" spans="1:11" x14ac:dyDescent="0.25">
      <c r="A4152" s="60">
        <v>605</v>
      </c>
      <c r="B4152" s="60" t="s">
        <v>120</v>
      </c>
      <c r="C4152" s="133">
        <v>230</v>
      </c>
      <c r="D4152" s="60">
        <v>0</v>
      </c>
      <c r="E4152" s="60">
        <f t="shared" si="64"/>
        <v>0</v>
      </c>
    </row>
    <row r="4153" spans="1:11" x14ac:dyDescent="0.25">
      <c r="A4153" s="60">
        <v>605</v>
      </c>
      <c r="B4153" s="60" t="s">
        <v>120</v>
      </c>
      <c r="C4153" s="133">
        <v>270</v>
      </c>
      <c r="D4153" s="60">
        <v>0</v>
      </c>
      <c r="E4153" s="60">
        <f t="shared" si="64"/>
        <v>0</v>
      </c>
    </row>
    <row r="4154" spans="1:11" x14ac:dyDescent="0.25">
      <c r="A4154" s="60">
        <v>605</v>
      </c>
      <c r="B4154" s="60" t="s">
        <v>120</v>
      </c>
      <c r="C4154" s="133">
        <v>298</v>
      </c>
      <c r="D4154" s="60">
        <v>0</v>
      </c>
      <c r="E4154" s="60">
        <f t="shared" si="64"/>
        <v>0</v>
      </c>
    </row>
    <row r="4155" spans="1:11" x14ac:dyDescent="0.25">
      <c r="A4155" s="60">
        <v>940</v>
      </c>
      <c r="B4155" s="60" t="s">
        <v>117</v>
      </c>
      <c r="C4155" s="133">
        <v>10</v>
      </c>
      <c r="D4155" s="60">
        <v>0</v>
      </c>
      <c r="E4155" s="60">
        <f t="shared" si="64"/>
        <v>0</v>
      </c>
    </row>
    <row r="4156" spans="1:11" x14ac:dyDescent="0.25">
      <c r="A4156" s="60">
        <v>963</v>
      </c>
      <c r="B4156" s="60" t="s">
        <v>117</v>
      </c>
      <c r="C4156" s="133">
        <v>10</v>
      </c>
      <c r="D4156" s="60">
        <v>0</v>
      </c>
      <c r="E4156" s="60">
        <f t="shared" si="64"/>
        <v>0</v>
      </c>
    </row>
    <row r="4157" spans="1:11" x14ac:dyDescent="0.25">
      <c r="A4157" s="60">
        <v>963</v>
      </c>
      <c r="B4157" s="60" t="s">
        <v>118</v>
      </c>
      <c r="C4157" s="133">
        <v>110</v>
      </c>
      <c r="D4157" s="60">
        <v>0</v>
      </c>
      <c r="E4157" s="60">
        <f t="shared" si="64"/>
        <v>0</v>
      </c>
    </row>
    <row r="4158" spans="1:11" x14ac:dyDescent="0.25">
      <c r="A4158" s="60">
        <v>966</v>
      </c>
      <c r="B4158" s="60" t="s">
        <v>117</v>
      </c>
      <c r="C4158" s="133">
        <v>100</v>
      </c>
      <c r="D4158" s="60">
        <v>0</v>
      </c>
      <c r="E4158" s="60">
        <f t="shared" si="64"/>
        <v>0</v>
      </c>
    </row>
    <row r="4159" spans="1:11" x14ac:dyDescent="0.25">
      <c r="A4159" s="60">
        <v>967</v>
      </c>
      <c r="B4159" s="60" t="s">
        <v>119</v>
      </c>
      <c r="C4159" s="133">
        <v>110</v>
      </c>
      <c r="D4159" s="60">
        <v>0</v>
      </c>
      <c r="E4159" s="60">
        <f t="shared" si="64"/>
        <v>0</v>
      </c>
    </row>
    <row r="4160" spans="1:11" x14ac:dyDescent="0.25">
      <c r="A4160" s="101">
        <v>972</v>
      </c>
      <c r="B4160" s="101" t="s">
        <v>120</v>
      </c>
      <c r="C4160" s="134">
        <v>230</v>
      </c>
      <c r="D4160" s="101">
        <v>0</v>
      </c>
      <c r="E4160" s="101">
        <f t="shared" si="64"/>
        <v>0</v>
      </c>
    </row>
    <row r="4161" spans="1:5" ht="14.4" x14ac:dyDescent="0.3">
      <c r="A4161" s="129" t="s">
        <v>206</v>
      </c>
      <c r="B4161" s="129">
        <v>24896</v>
      </c>
      <c r="C4161" s="130">
        <v>30729.14</v>
      </c>
      <c r="D4161" s="129" t="s">
        <v>19</v>
      </c>
      <c r="E4161" s="129">
        <v>2274</v>
      </c>
    </row>
    <row r="4162" spans="1:5" ht="14.4" x14ac:dyDescent="0.3">
      <c r="A4162" s="129" t="s">
        <v>208</v>
      </c>
      <c r="B4162" s="129">
        <v>24828</v>
      </c>
      <c r="C4162" s="130">
        <v>951.79</v>
      </c>
      <c r="D4162" s="129" t="s">
        <v>19</v>
      </c>
      <c r="E4162" s="129">
        <v>3402</v>
      </c>
    </row>
    <row r="4163" spans="1:5" ht="14.4" x14ac:dyDescent="0.3">
      <c r="A4163" s="129" t="s">
        <v>210</v>
      </c>
      <c r="B4163" s="129">
        <v>1007</v>
      </c>
      <c r="C4163" s="130">
        <v>51629.96</v>
      </c>
      <c r="D4163" s="129" t="s">
        <v>19</v>
      </c>
      <c r="E4163" s="129">
        <v>267814</v>
      </c>
    </row>
    <row r="4164" spans="1:5" ht="14.4" x14ac:dyDescent="0.3">
      <c r="A4164" s="129" t="s">
        <v>210</v>
      </c>
      <c r="B4164" s="129">
        <v>1007</v>
      </c>
      <c r="C4164" s="130">
        <v>101131.45</v>
      </c>
      <c r="D4164" s="129" t="s">
        <v>19</v>
      </c>
      <c r="E4164" s="129">
        <v>267851</v>
      </c>
    </row>
    <row r="4165" spans="1:5" ht="14.4" x14ac:dyDescent="0.3">
      <c r="A4165" s="129" t="s">
        <v>211</v>
      </c>
      <c r="B4165" s="129">
        <v>24483</v>
      </c>
      <c r="C4165" s="130">
        <v>96246.29</v>
      </c>
      <c r="D4165" s="129" t="s">
        <v>19</v>
      </c>
      <c r="E4165" s="129" t="s">
        <v>212</v>
      </c>
    </row>
    <row r="4166" spans="1:5" ht="14.4" x14ac:dyDescent="0.3">
      <c r="A4166" s="129" t="s">
        <v>213</v>
      </c>
      <c r="B4166" s="129">
        <v>26161</v>
      </c>
      <c r="C4166" s="130">
        <v>49400.27</v>
      </c>
      <c r="D4166" s="129" t="s">
        <v>19</v>
      </c>
      <c r="E4166" s="129">
        <v>3420</v>
      </c>
    </row>
    <row r="4167" spans="1:5" ht="14.4" x14ac:dyDescent="0.3">
      <c r="A4167" s="129" t="s">
        <v>214</v>
      </c>
      <c r="B4167" s="129">
        <v>21626</v>
      </c>
      <c r="C4167" s="130">
        <v>9448.61</v>
      </c>
      <c r="D4167" s="129" t="s">
        <v>19</v>
      </c>
      <c r="E4167" s="129">
        <v>3431</v>
      </c>
    </row>
    <row r="4168" spans="1:5" ht="14.4" x14ac:dyDescent="0.3">
      <c r="A4168" s="129" t="s">
        <v>215</v>
      </c>
      <c r="B4168" s="129">
        <v>30323</v>
      </c>
      <c r="C4168" s="130">
        <v>2750</v>
      </c>
      <c r="D4168" s="129" t="s">
        <v>19</v>
      </c>
      <c r="E4168" s="129">
        <v>3512</v>
      </c>
    </row>
    <row r="4169" spans="1:5" ht="14.4" x14ac:dyDescent="0.3">
      <c r="A4169" s="129" t="s">
        <v>216</v>
      </c>
      <c r="B4169" s="129">
        <v>2386</v>
      </c>
      <c r="C4169" s="130">
        <v>10000</v>
      </c>
      <c r="D4169" s="129" t="s">
        <v>19</v>
      </c>
      <c r="E4169" s="129">
        <v>3466</v>
      </c>
    </row>
    <row r="4170" spans="1:5" ht="14.4" x14ac:dyDescent="0.3">
      <c r="A4170" s="129"/>
      <c r="B4170" s="129"/>
      <c r="C4170" s="130"/>
      <c r="D4170" s="129"/>
      <c r="E4170" s="129"/>
    </row>
    <row r="4171" spans="1:5" ht="14.4" x14ac:dyDescent="0.3">
      <c r="A4171" s="128" t="s">
        <v>217</v>
      </c>
      <c r="B4171" s="129"/>
      <c r="C4171" s="130"/>
      <c r="D4171" s="129"/>
      <c r="E4171" s="129"/>
    </row>
    <row r="4172" spans="1:5" ht="14.4" x14ac:dyDescent="0.3">
      <c r="A4172" s="129" t="s">
        <v>218</v>
      </c>
      <c r="B4172" s="129">
        <v>24775</v>
      </c>
      <c r="C4172" s="130">
        <v>5239.68</v>
      </c>
      <c r="D4172" s="129" t="s">
        <v>19</v>
      </c>
      <c r="E4172" s="129">
        <v>3465</v>
      </c>
    </row>
    <row r="4173" spans="1:5" ht="14.4" x14ac:dyDescent="0.3">
      <c r="A4173" s="129"/>
      <c r="B4173" s="129"/>
      <c r="C4173" s="130"/>
      <c r="D4173" s="129"/>
      <c r="E4173" s="129"/>
    </row>
    <row r="4174" spans="1:5" ht="14.4" x14ac:dyDescent="0.3">
      <c r="A4174" s="129"/>
      <c r="B4174" s="129"/>
      <c r="C4174" s="130"/>
      <c r="D4174" s="129"/>
      <c r="E4174" s="129"/>
    </row>
    <row r="4175" spans="1:5" ht="14.4" x14ac:dyDescent="0.3">
      <c r="A4175" s="129" t="s">
        <v>222</v>
      </c>
      <c r="B4175" s="129">
        <v>30030</v>
      </c>
      <c r="C4175" s="130">
        <v>23131.43</v>
      </c>
      <c r="D4175" s="129" t="s">
        <v>19</v>
      </c>
      <c r="E4175" s="129">
        <v>3418</v>
      </c>
    </row>
    <row r="4176" spans="1:5" ht="14.4" x14ac:dyDescent="0.3">
      <c r="A4176" s="129"/>
      <c r="B4176" s="129"/>
      <c r="C4176" s="130"/>
      <c r="D4176" s="129"/>
      <c r="E4176" s="129"/>
    </row>
    <row r="4177" spans="1:5" ht="14.4" x14ac:dyDescent="0.3">
      <c r="A4177" s="129"/>
      <c r="B4177" s="129"/>
      <c r="C4177" s="130"/>
      <c r="D4177" s="129"/>
      <c r="E4177" s="129"/>
    </row>
    <row r="4178" spans="1:5" ht="14.4" x14ac:dyDescent="0.3">
      <c r="A4178" s="129"/>
      <c r="B4178" s="128" t="s">
        <v>1</v>
      </c>
      <c r="C4178" s="130">
        <f>SUM(C4126:C4177)</f>
        <v>385555.62</v>
      </c>
      <c r="D4178" s="129"/>
      <c r="E4178" s="129"/>
    </row>
    <row r="4179" spans="1:5" x14ac:dyDescent="0.25">
      <c r="A4179" s="101">
        <v>972</v>
      </c>
      <c r="B4179" s="101" t="s">
        <v>120</v>
      </c>
      <c r="C4179" s="101">
        <v>230</v>
      </c>
      <c r="D4179" s="101">
        <v>0</v>
      </c>
      <c r="E4179" s="101">
        <f>IF(C4179&lt;100,D4179,D4179*-1)</f>
        <v>0</v>
      </c>
    </row>
    <row r="4180" spans="1:5" ht="14.4" x14ac:dyDescent="0.3">
      <c r="A4180" s="96" t="s">
        <v>186</v>
      </c>
      <c r="B4180" s="97">
        <v>30098</v>
      </c>
      <c r="C4180" s="98" t="s">
        <v>185</v>
      </c>
      <c r="D4180" s="99">
        <v>294</v>
      </c>
      <c r="E4180" s="97" t="s">
        <v>187</v>
      </c>
    </row>
    <row r="4181" spans="1:5" ht="14.4" x14ac:dyDescent="0.3">
      <c r="A4181" s="96" t="s">
        <v>186</v>
      </c>
      <c r="B4181" s="97">
        <v>30098</v>
      </c>
      <c r="C4181" s="98" t="s">
        <v>185</v>
      </c>
      <c r="D4181" s="99">
        <v>294</v>
      </c>
      <c r="E4181" s="97" t="s">
        <v>188</v>
      </c>
    </row>
    <row r="4182" spans="1:5" x14ac:dyDescent="0.25">
      <c r="A4182" s="60">
        <v>972</v>
      </c>
      <c r="B4182" s="60" t="s">
        <v>120</v>
      </c>
      <c r="C4182" s="60">
        <v>230</v>
      </c>
      <c r="D4182" s="60">
        <v>0</v>
      </c>
      <c r="E4182" s="60">
        <f>IF(C4182&lt;100,D4182,D4182*-1)</f>
        <v>0</v>
      </c>
    </row>
  </sheetData>
  <customSheetViews>
    <customSheetView guid="{787CEAB0-B665-4DDC-B6D5-0EF4B4179B2C}">
      <selection activeCell="G13" sqref="G13"/>
      <pageMargins left="0.75" right="0.75" top="1" bottom="1" header="0.5" footer="0.5"/>
      <printOptions gridLines="1"/>
      <pageSetup orientation="portrait" r:id="rId2"/>
      <headerFooter alignWithMargins="0">
        <oddHeader>&amp;A</oddHeader>
        <oddFooter>Page &amp;P</oddFooter>
      </headerFooter>
    </customSheetView>
    <customSheetView guid="{32FA922B-D311-4A17-9E95-50C57C186216}">
      <selection activeCell="G13" sqref="G13"/>
      <pageMargins left="0.75" right="0.75" top="1" bottom="1" header="0.5" footer="0.5"/>
      <printOptions gridLines="1"/>
      <pageSetup orientation="portrait" r:id="rId3"/>
      <headerFooter alignWithMargins="0">
        <oddHeader>&amp;A</oddHeader>
        <oddFooter>Page &amp;P</oddFooter>
      </headerFooter>
    </customSheetView>
    <customSheetView guid="{AD1DD6D4-9126-4937-AE78-38B0663E3739}">
      <selection activeCell="G13" sqref="G13"/>
      <pageMargins left="0.75" right="0.75" top="1" bottom="1" header="0.5" footer="0.5"/>
      <printOptions gridLines="1"/>
      <pageSetup orientation="portrait" r:id="rId4"/>
      <headerFooter alignWithMargins="0">
        <oddHeader>&amp;A</oddHeader>
        <oddFooter>Page &amp;P</oddFooter>
      </headerFooter>
    </customSheetView>
    <customSheetView guid="{007B44AF-685B-4B37-9750-B07A99A25CF6}">
      <selection activeCell="G13" sqref="G13"/>
      <pageMargins left="0.75" right="0.75" top="1" bottom="1" header="0.5" footer="0.5"/>
      <printOptions gridLines="1"/>
      <pageSetup orientation="portrait" r:id="rId5"/>
      <headerFooter alignWithMargins="0">
        <oddHeader>&amp;A</oddHeader>
        <oddFooter>Page &amp;P</oddFooter>
      </headerFooter>
    </customSheetView>
    <customSheetView guid="{AA02AC12-6E1B-4019-BD01-AFF4D21A6ABD}">
      <selection activeCell="G13" sqref="G13"/>
      <pageMargins left="0.75" right="0.75" top="1" bottom="1" header="0.5" footer="0.5"/>
      <printOptions gridLines="1"/>
      <pageSetup orientation="portrait" r:id="rId6"/>
      <headerFooter alignWithMargins="0">
        <oddHeader>&amp;A</oddHeader>
        <oddFooter>Page &amp;P</oddFooter>
      </headerFooter>
    </customSheetView>
    <customSheetView guid="{B148F6D0-D380-41BC-8CCF-9098DBC3211F}">
      <selection activeCell="G13" sqref="G13"/>
      <pageMargins left="0.75" right="0.75" top="1" bottom="1" header="0.5" footer="0.5"/>
      <printOptions gridLines="1"/>
      <pageSetup orientation="portrait" r:id="rId7"/>
      <headerFooter alignWithMargins="0">
        <oddHeader>&amp;A</oddHeader>
        <oddFooter>Page &amp;P</oddFooter>
      </headerFooter>
    </customSheetView>
    <customSheetView guid="{A6685E51-6E0B-411A-8D94-6874F1684A20}" topLeftCell="A25">
      <selection activeCell="G13" sqref="G13"/>
      <pageMargins left="0.75" right="0.75" top="1" bottom="1" header="0.5" footer="0.5"/>
      <printOptions gridLines="1"/>
      <pageSetup orientation="portrait" r:id="rId8"/>
      <headerFooter alignWithMargins="0">
        <oddHeader>&amp;A</oddHeader>
        <oddFooter>Page &amp;P</oddFooter>
      </headerFooter>
    </customSheetView>
  </customSheetViews>
  <phoneticPr fontId="0" type="noConversion"/>
  <printOptions gridLines="1" gridLinesSet="0"/>
  <pageMargins left="0.75" right="0.75" top="1" bottom="1" header="0.5" footer="0.5"/>
  <pageSetup orientation="portrait" r:id="rId9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581"/>
  <sheetViews>
    <sheetView workbookViewId="0">
      <selection activeCell="G18" sqref="G18"/>
    </sheetView>
  </sheetViews>
  <sheetFormatPr defaultColWidth="9.109375" defaultRowHeight="13.2" x14ac:dyDescent="0.25"/>
  <cols>
    <col min="1" max="1" width="17.88671875" style="60" customWidth="1"/>
    <col min="2" max="2" width="18.88671875" style="60" customWidth="1"/>
    <col min="3" max="3" width="15" style="60" customWidth="1"/>
    <col min="4" max="4" width="14.5546875" style="60" bestFit="1" customWidth="1"/>
    <col min="5" max="5" width="21" style="60" customWidth="1"/>
    <col min="6" max="10" width="21.109375" style="60" customWidth="1"/>
    <col min="11" max="11" width="10.5546875" style="60" customWidth="1"/>
    <col min="12" max="41" width="21.109375" style="60" bestFit="1" customWidth="1"/>
    <col min="42" max="77" width="9" style="60" customWidth="1"/>
    <col min="78" max="98" width="7" style="60" customWidth="1"/>
    <col min="99" max="99" width="7.5546875" style="60" customWidth="1"/>
    <col min="100" max="138" width="9" style="60" customWidth="1"/>
    <col min="139" max="148" width="7" style="60" customWidth="1"/>
    <col min="149" max="149" width="7.5546875" style="60" customWidth="1"/>
    <col min="150" max="150" width="10.5546875" style="60" bestFit="1" customWidth="1"/>
    <col min="151" max="16384" width="9.109375" style="60"/>
  </cols>
  <sheetData>
    <row r="1" spans="1:11" x14ac:dyDescent="0.25">
      <c r="A1" s="59" t="s">
        <v>123</v>
      </c>
      <c r="B1" s="59" t="s">
        <v>124</v>
      </c>
      <c r="C1" s="59" t="s">
        <v>125</v>
      </c>
      <c r="D1" s="59" t="s">
        <v>128</v>
      </c>
      <c r="E1" s="146" t="s">
        <v>129</v>
      </c>
      <c r="F1" s="146" t="s">
        <v>124</v>
      </c>
      <c r="G1" s="147"/>
      <c r="H1" s="147"/>
      <c r="I1" s="147"/>
      <c r="J1" s="147"/>
      <c r="K1" s="148"/>
    </row>
    <row r="2" spans="1:11" x14ac:dyDescent="0.25">
      <c r="A2" s="60">
        <v>1</v>
      </c>
      <c r="B2" s="60" t="s">
        <v>117</v>
      </c>
      <c r="C2" s="60">
        <v>1000</v>
      </c>
      <c r="D2" s="60">
        <v>82467050</v>
      </c>
      <c r="E2" s="146" t="s">
        <v>123</v>
      </c>
      <c r="F2" s="149" t="s">
        <v>117</v>
      </c>
      <c r="G2" s="150" t="s">
        <v>118</v>
      </c>
      <c r="H2" s="150" t="s">
        <v>119</v>
      </c>
      <c r="I2" s="150" t="s">
        <v>120</v>
      </c>
      <c r="J2" s="150" t="s">
        <v>121</v>
      </c>
      <c r="K2" s="151" t="s">
        <v>122</v>
      </c>
    </row>
    <row r="3" spans="1:11" x14ac:dyDescent="0.25">
      <c r="A3" s="60">
        <v>1</v>
      </c>
      <c r="B3" s="60" t="s">
        <v>117</v>
      </c>
      <c r="C3" s="60">
        <v>1010</v>
      </c>
      <c r="D3" s="60">
        <v>0</v>
      </c>
      <c r="E3" s="149">
        <v>1</v>
      </c>
      <c r="F3" s="152">
        <v>156267050</v>
      </c>
      <c r="G3" s="153">
        <v>83440000</v>
      </c>
      <c r="H3" s="153">
        <v>59698525</v>
      </c>
      <c r="I3" s="153">
        <v>145776400</v>
      </c>
      <c r="J3" s="153">
        <v>182</v>
      </c>
      <c r="K3" s="154">
        <v>445182157</v>
      </c>
    </row>
    <row r="4" spans="1:11" x14ac:dyDescent="0.25">
      <c r="A4" s="60">
        <v>1</v>
      </c>
      <c r="B4" s="60" t="s">
        <v>117</v>
      </c>
      <c r="C4" s="60">
        <v>1080</v>
      </c>
      <c r="D4" s="60">
        <v>73800000</v>
      </c>
      <c r="E4" s="155">
        <v>10</v>
      </c>
      <c r="F4" s="156"/>
      <c r="G4" s="157">
        <v>0</v>
      </c>
      <c r="H4" s="157"/>
      <c r="I4" s="157">
        <v>0</v>
      </c>
      <c r="J4" s="157"/>
      <c r="K4" s="158">
        <v>0</v>
      </c>
    </row>
    <row r="5" spans="1:11" x14ac:dyDescent="0.25">
      <c r="A5" s="60">
        <v>1</v>
      </c>
      <c r="B5" s="60" t="s">
        <v>117</v>
      </c>
      <c r="C5" s="60">
        <v>1098</v>
      </c>
      <c r="D5" s="60">
        <v>0</v>
      </c>
      <c r="E5" s="155">
        <v>11</v>
      </c>
      <c r="F5" s="156">
        <v>9856371</v>
      </c>
      <c r="G5" s="157">
        <v>0</v>
      </c>
      <c r="H5" s="157">
        <v>0</v>
      </c>
      <c r="I5" s="157">
        <v>372320</v>
      </c>
      <c r="J5" s="157">
        <v>0</v>
      </c>
      <c r="K5" s="158">
        <v>10228691</v>
      </c>
    </row>
    <row r="6" spans="1:11" x14ac:dyDescent="0.25">
      <c r="A6" s="60">
        <v>11</v>
      </c>
      <c r="B6" s="60" t="s">
        <v>117</v>
      </c>
      <c r="C6" s="60">
        <v>1000</v>
      </c>
      <c r="D6" s="60">
        <v>9856371</v>
      </c>
      <c r="E6" s="155">
        <v>21</v>
      </c>
      <c r="F6" s="156">
        <v>0</v>
      </c>
      <c r="G6" s="157">
        <v>0</v>
      </c>
      <c r="H6" s="157">
        <v>0</v>
      </c>
      <c r="I6" s="157">
        <v>0</v>
      </c>
      <c r="J6" s="157"/>
      <c r="K6" s="158">
        <v>0</v>
      </c>
    </row>
    <row r="7" spans="1:11" x14ac:dyDescent="0.25">
      <c r="A7" s="60">
        <v>11</v>
      </c>
      <c r="B7" s="60" t="s">
        <v>117</v>
      </c>
      <c r="C7" s="60">
        <v>1010</v>
      </c>
      <c r="D7" s="60">
        <v>0</v>
      </c>
      <c r="E7" s="155">
        <v>31</v>
      </c>
      <c r="F7" s="156">
        <v>0</v>
      </c>
      <c r="G7" s="157">
        <v>0</v>
      </c>
      <c r="H7" s="157">
        <v>0</v>
      </c>
      <c r="I7" s="157">
        <v>0</v>
      </c>
      <c r="J7" s="157"/>
      <c r="K7" s="158">
        <v>0</v>
      </c>
    </row>
    <row r="8" spans="1:11" x14ac:dyDescent="0.25">
      <c r="A8" s="60">
        <v>11</v>
      </c>
      <c r="B8" s="60" t="s">
        <v>117</v>
      </c>
      <c r="C8" s="60">
        <v>1098</v>
      </c>
      <c r="D8" s="60">
        <v>0</v>
      </c>
      <c r="E8" s="155">
        <v>41</v>
      </c>
      <c r="F8" s="156">
        <v>0</v>
      </c>
      <c r="G8" s="157"/>
      <c r="H8" s="157"/>
      <c r="I8" s="157">
        <v>0</v>
      </c>
      <c r="J8" s="157"/>
      <c r="K8" s="158">
        <v>0</v>
      </c>
    </row>
    <row r="9" spans="1:11" x14ac:dyDescent="0.25">
      <c r="A9" s="60">
        <v>21</v>
      </c>
      <c r="B9" s="60" t="s">
        <v>117</v>
      </c>
      <c r="C9" s="60">
        <v>1000</v>
      </c>
      <c r="D9" s="60">
        <v>0</v>
      </c>
      <c r="E9" s="155">
        <v>61</v>
      </c>
      <c r="F9" s="156">
        <v>0</v>
      </c>
      <c r="G9" s="157">
        <v>0</v>
      </c>
      <c r="H9" s="157">
        <v>0</v>
      </c>
      <c r="I9" s="157">
        <v>-45431</v>
      </c>
      <c r="J9" s="157">
        <v>68582</v>
      </c>
      <c r="K9" s="158">
        <v>23151</v>
      </c>
    </row>
    <row r="10" spans="1:11" x14ac:dyDescent="0.25">
      <c r="A10" s="60">
        <v>21</v>
      </c>
      <c r="B10" s="60" t="s">
        <v>117</v>
      </c>
      <c r="C10" s="60">
        <v>1098</v>
      </c>
      <c r="D10" s="60">
        <v>0</v>
      </c>
      <c r="E10" s="155">
        <v>71</v>
      </c>
      <c r="F10" s="156">
        <v>0</v>
      </c>
      <c r="G10" s="157">
        <v>0</v>
      </c>
      <c r="H10" s="157">
        <v>0</v>
      </c>
      <c r="I10" s="157">
        <v>1654420</v>
      </c>
      <c r="J10" s="157">
        <v>0</v>
      </c>
      <c r="K10" s="158">
        <v>1654420</v>
      </c>
    </row>
    <row r="11" spans="1:11" x14ac:dyDescent="0.25">
      <c r="A11" s="60">
        <v>31</v>
      </c>
      <c r="B11" s="60" t="s">
        <v>117</v>
      </c>
      <c r="C11" s="60">
        <v>1000</v>
      </c>
      <c r="D11" s="60">
        <v>0</v>
      </c>
      <c r="E11" s="155">
        <v>81</v>
      </c>
      <c r="F11" s="156">
        <v>333</v>
      </c>
      <c r="G11" s="157">
        <v>0</v>
      </c>
      <c r="H11" s="157">
        <v>0</v>
      </c>
      <c r="I11" s="157"/>
      <c r="J11" s="157"/>
      <c r="K11" s="158">
        <v>333</v>
      </c>
    </row>
    <row r="12" spans="1:11" x14ac:dyDescent="0.25">
      <c r="A12" s="60">
        <v>31</v>
      </c>
      <c r="B12" s="60" t="s">
        <v>117</v>
      </c>
      <c r="C12" s="60">
        <v>1098</v>
      </c>
      <c r="D12" s="60">
        <v>0</v>
      </c>
      <c r="E12" s="155">
        <v>91</v>
      </c>
      <c r="F12" s="156">
        <v>0</v>
      </c>
      <c r="G12" s="157">
        <v>0</v>
      </c>
      <c r="H12" s="157">
        <v>0</v>
      </c>
      <c r="I12" s="157">
        <v>0</v>
      </c>
      <c r="J12" s="157">
        <v>0</v>
      </c>
      <c r="K12" s="158">
        <v>0</v>
      </c>
    </row>
    <row r="13" spans="1:11" x14ac:dyDescent="0.25">
      <c r="A13" s="60">
        <v>41</v>
      </c>
      <c r="B13" s="60" t="s">
        <v>117</v>
      </c>
      <c r="C13" s="60">
        <v>1000</v>
      </c>
      <c r="D13" s="60">
        <v>0</v>
      </c>
      <c r="E13" s="155">
        <v>101</v>
      </c>
      <c r="F13" s="156">
        <v>17586</v>
      </c>
      <c r="G13" s="157">
        <v>0</v>
      </c>
      <c r="H13" s="157">
        <v>0</v>
      </c>
      <c r="I13" s="157">
        <v>0</v>
      </c>
      <c r="J13" s="157">
        <v>0</v>
      </c>
      <c r="K13" s="158">
        <v>17586</v>
      </c>
    </row>
    <row r="14" spans="1:11" x14ac:dyDescent="0.25">
      <c r="A14" s="60">
        <v>61</v>
      </c>
      <c r="B14" s="60" t="s">
        <v>117</v>
      </c>
      <c r="C14" s="60">
        <v>1000</v>
      </c>
      <c r="D14" s="60">
        <v>0</v>
      </c>
      <c r="E14" s="155">
        <v>111</v>
      </c>
      <c r="F14" s="156">
        <v>0</v>
      </c>
      <c r="G14" s="157">
        <v>0</v>
      </c>
      <c r="H14" s="157">
        <v>0</v>
      </c>
      <c r="I14" s="157">
        <v>3957180</v>
      </c>
      <c r="J14" s="157">
        <v>0</v>
      </c>
      <c r="K14" s="158">
        <v>3957180</v>
      </c>
    </row>
    <row r="15" spans="1:11" x14ac:dyDescent="0.25">
      <c r="A15" s="60">
        <v>71</v>
      </c>
      <c r="B15" s="60" t="s">
        <v>117</v>
      </c>
      <c r="C15" s="60">
        <v>1000</v>
      </c>
      <c r="D15" s="60">
        <v>0</v>
      </c>
      <c r="E15" s="155">
        <v>121</v>
      </c>
      <c r="F15" s="156">
        <v>0</v>
      </c>
      <c r="G15" s="157">
        <v>0</v>
      </c>
      <c r="H15" s="157">
        <v>0</v>
      </c>
      <c r="I15" s="157">
        <v>0</v>
      </c>
      <c r="J15" s="157"/>
      <c r="K15" s="158">
        <v>0</v>
      </c>
    </row>
    <row r="16" spans="1:11" x14ac:dyDescent="0.25">
      <c r="A16" s="60">
        <v>71</v>
      </c>
      <c r="B16" s="60" t="s">
        <v>117</v>
      </c>
      <c r="C16" s="60">
        <v>1098</v>
      </c>
      <c r="D16" s="60">
        <v>0</v>
      </c>
      <c r="E16" s="155">
        <v>131</v>
      </c>
      <c r="F16" s="156">
        <v>0</v>
      </c>
      <c r="G16" s="157"/>
      <c r="H16" s="157">
        <v>0</v>
      </c>
      <c r="I16" s="157">
        <v>0</v>
      </c>
      <c r="J16" s="157"/>
      <c r="K16" s="158">
        <v>0</v>
      </c>
    </row>
    <row r="17" spans="1:11" x14ac:dyDescent="0.25">
      <c r="A17" s="60">
        <v>81</v>
      </c>
      <c r="B17" s="60" t="s">
        <v>117</v>
      </c>
      <c r="C17" s="60">
        <v>1000</v>
      </c>
      <c r="D17" s="60">
        <v>333</v>
      </c>
      <c r="E17" s="155">
        <v>141</v>
      </c>
      <c r="F17" s="156">
        <v>958694</v>
      </c>
      <c r="G17" s="157"/>
      <c r="H17" s="157"/>
      <c r="I17" s="157"/>
      <c r="J17" s="157"/>
      <c r="K17" s="158">
        <v>958694</v>
      </c>
    </row>
    <row r="18" spans="1:11" x14ac:dyDescent="0.25">
      <c r="A18" s="60">
        <v>81</v>
      </c>
      <c r="B18" s="60" t="s">
        <v>117</v>
      </c>
      <c r="C18" s="60">
        <v>1098</v>
      </c>
      <c r="D18" s="60">
        <v>0</v>
      </c>
      <c r="E18" s="155">
        <v>151</v>
      </c>
      <c r="F18" s="156">
        <v>0</v>
      </c>
      <c r="G18" s="157">
        <v>0</v>
      </c>
      <c r="H18" s="157">
        <v>0</v>
      </c>
      <c r="I18" s="157">
        <v>0</v>
      </c>
      <c r="J18" s="157"/>
      <c r="K18" s="158">
        <v>0</v>
      </c>
    </row>
    <row r="19" spans="1:11" x14ac:dyDescent="0.25">
      <c r="A19" s="60">
        <v>91</v>
      </c>
      <c r="B19" s="60" t="s">
        <v>117</v>
      </c>
      <c r="C19" s="60">
        <v>1000</v>
      </c>
      <c r="D19" s="60">
        <v>0</v>
      </c>
      <c r="E19" s="155">
        <v>161</v>
      </c>
      <c r="F19" s="156">
        <v>0</v>
      </c>
      <c r="G19" s="157">
        <v>0</v>
      </c>
      <c r="H19" s="157">
        <v>0</v>
      </c>
      <c r="I19" s="157">
        <v>0</v>
      </c>
      <c r="J19" s="157">
        <v>0</v>
      </c>
      <c r="K19" s="158">
        <v>0</v>
      </c>
    </row>
    <row r="20" spans="1:11" x14ac:dyDescent="0.25">
      <c r="A20" s="60">
        <v>91</v>
      </c>
      <c r="B20" s="60" t="s">
        <v>117</v>
      </c>
      <c r="C20" s="60">
        <v>1080</v>
      </c>
      <c r="D20" s="60">
        <v>0</v>
      </c>
      <c r="E20" s="155">
        <v>171</v>
      </c>
      <c r="F20" s="156">
        <v>0</v>
      </c>
      <c r="G20" s="157">
        <v>0</v>
      </c>
      <c r="H20" s="157">
        <v>0</v>
      </c>
      <c r="I20" s="157">
        <v>0</v>
      </c>
      <c r="J20" s="157"/>
      <c r="K20" s="158">
        <v>0</v>
      </c>
    </row>
    <row r="21" spans="1:11" x14ac:dyDescent="0.25">
      <c r="A21" s="60">
        <v>91</v>
      </c>
      <c r="B21" s="60" t="s">
        <v>117</v>
      </c>
      <c r="C21" s="60">
        <v>1098</v>
      </c>
      <c r="D21" s="60">
        <v>0</v>
      </c>
      <c r="E21" s="155">
        <v>182</v>
      </c>
      <c r="F21" s="156">
        <v>0</v>
      </c>
      <c r="G21" s="157">
        <v>0</v>
      </c>
      <c r="H21" s="157">
        <v>0</v>
      </c>
      <c r="I21" s="157">
        <v>0</v>
      </c>
      <c r="J21" s="157"/>
      <c r="K21" s="158">
        <v>0</v>
      </c>
    </row>
    <row r="22" spans="1:11" x14ac:dyDescent="0.25">
      <c r="A22" s="60">
        <v>101</v>
      </c>
      <c r="B22" s="60" t="s">
        <v>117</v>
      </c>
      <c r="C22" s="60">
        <v>1000</v>
      </c>
      <c r="D22" s="60">
        <v>17586</v>
      </c>
      <c r="E22" s="155">
        <v>183</v>
      </c>
      <c r="F22" s="156">
        <v>0</v>
      </c>
      <c r="G22" s="157">
        <v>0</v>
      </c>
      <c r="H22" s="157"/>
      <c r="I22" s="157">
        <v>0</v>
      </c>
      <c r="J22" s="157"/>
      <c r="K22" s="158">
        <v>0</v>
      </c>
    </row>
    <row r="23" spans="1:11" x14ac:dyDescent="0.25">
      <c r="A23" s="60">
        <v>101</v>
      </c>
      <c r="B23" s="60" t="s">
        <v>117</v>
      </c>
      <c r="C23" s="60">
        <v>1098</v>
      </c>
      <c r="D23" s="60">
        <v>0</v>
      </c>
      <c r="E23" s="155">
        <v>185</v>
      </c>
      <c r="F23" s="156">
        <v>0</v>
      </c>
      <c r="G23" s="157">
        <v>0</v>
      </c>
      <c r="H23" s="157"/>
      <c r="I23" s="157">
        <v>0</v>
      </c>
      <c r="J23" s="157"/>
      <c r="K23" s="158">
        <v>0</v>
      </c>
    </row>
    <row r="24" spans="1:11" x14ac:dyDescent="0.25">
      <c r="A24" s="60">
        <v>111</v>
      </c>
      <c r="B24" s="60" t="s">
        <v>117</v>
      </c>
      <c r="C24" s="60">
        <v>1000</v>
      </c>
      <c r="D24" s="60">
        <v>0</v>
      </c>
      <c r="E24" s="155">
        <v>191</v>
      </c>
      <c r="F24" s="156">
        <v>0</v>
      </c>
      <c r="G24" s="157">
        <v>0</v>
      </c>
      <c r="H24" s="157">
        <v>0</v>
      </c>
      <c r="I24" s="157">
        <v>0</v>
      </c>
      <c r="J24" s="157"/>
      <c r="K24" s="158">
        <v>0</v>
      </c>
    </row>
    <row r="25" spans="1:11" x14ac:dyDescent="0.25">
      <c r="A25" s="60">
        <v>111</v>
      </c>
      <c r="B25" s="60" t="s">
        <v>117</v>
      </c>
      <c r="C25" s="60">
        <v>1098</v>
      </c>
      <c r="D25" s="60">
        <v>0</v>
      </c>
      <c r="E25" s="155">
        <v>201</v>
      </c>
      <c r="F25" s="156">
        <v>0</v>
      </c>
      <c r="G25" s="157"/>
      <c r="H25" s="157"/>
      <c r="I25" s="157"/>
      <c r="J25" s="157"/>
      <c r="K25" s="158">
        <v>0</v>
      </c>
    </row>
    <row r="26" spans="1:11" x14ac:dyDescent="0.25">
      <c r="A26" s="60">
        <v>121</v>
      </c>
      <c r="B26" s="60" t="s">
        <v>117</v>
      </c>
      <c r="C26" s="60">
        <v>1000</v>
      </c>
      <c r="D26" s="60">
        <v>0</v>
      </c>
      <c r="E26" s="155">
        <v>205</v>
      </c>
      <c r="F26" s="156">
        <v>194607</v>
      </c>
      <c r="G26" s="157"/>
      <c r="H26" s="157">
        <v>0</v>
      </c>
      <c r="I26" s="157">
        <v>0</v>
      </c>
      <c r="J26" s="157"/>
      <c r="K26" s="158">
        <v>194607</v>
      </c>
    </row>
    <row r="27" spans="1:11" x14ac:dyDescent="0.25">
      <c r="A27" s="60">
        <v>121</v>
      </c>
      <c r="B27" s="60" t="s">
        <v>117</v>
      </c>
      <c r="C27" s="60">
        <v>1098</v>
      </c>
      <c r="D27" s="60">
        <v>0</v>
      </c>
      <c r="E27" s="155">
        <v>212</v>
      </c>
      <c r="F27" s="156">
        <v>-20736</v>
      </c>
      <c r="G27" s="157">
        <v>0</v>
      </c>
      <c r="H27" s="157">
        <v>16560</v>
      </c>
      <c r="I27" s="157">
        <v>0</v>
      </c>
      <c r="J27" s="157">
        <v>0</v>
      </c>
      <c r="K27" s="158">
        <v>-4176</v>
      </c>
    </row>
    <row r="28" spans="1:11" x14ac:dyDescent="0.25">
      <c r="A28" s="60">
        <v>131</v>
      </c>
      <c r="B28" s="60" t="s">
        <v>117</v>
      </c>
      <c r="C28" s="60">
        <v>1000</v>
      </c>
      <c r="D28" s="60">
        <v>0</v>
      </c>
      <c r="E28" s="155">
        <v>222</v>
      </c>
      <c r="F28" s="156">
        <v>0</v>
      </c>
      <c r="G28" s="157">
        <v>0</v>
      </c>
      <c r="H28" s="157">
        <v>2495477</v>
      </c>
      <c r="I28" s="157">
        <v>0</v>
      </c>
      <c r="J28" s="157"/>
      <c r="K28" s="158">
        <v>2495477</v>
      </c>
    </row>
    <row r="29" spans="1:11" x14ac:dyDescent="0.25">
      <c r="A29" s="60">
        <v>131</v>
      </c>
      <c r="B29" s="60" t="s">
        <v>117</v>
      </c>
      <c r="C29" s="60">
        <v>1098</v>
      </c>
      <c r="D29" s="60">
        <v>0</v>
      </c>
      <c r="E29" s="155">
        <v>242</v>
      </c>
      <c r="F29" s="156">
        <v>0</v>
      </c>
      <c r="G29" s="157">
        <v>0</v>
      </c>
      <c r="H29" s="157">
        <v>0</v>
      </c>
      <c r="I29" s="157">
        <v>515300</v>
      </c>
      <c r="J29" s="157">
        <v>0</v>
      </c>
      <c r="K29" s="158">
        <v>515300</v>
      </c>
    </row>
    <row r="30" spans="1:11" x14ac:dyDescent="0.25">
      <c r="A30" s="60">
        <v>141</v>
      </c>
      <c r="B30" s="60" t="s">
        <v>117</v>
      </c>
      <c r="C30" s="60">
        <v>1000</v>
      </c>
      <c r="D30" s="60">
        <v>958694</v>
      </c>
      <c r="E30" s="155">
        <v>252</v>
      </c>
      <c r="F30" s="156">
        <v>0</v>
      </c>
      <c r="G30" s="157">
        <v>0</v>
      </c>
      <c r="H30" s="157">
        <v>0</v>
      </c>
      <c r="I30" s="157">
        <v>0</v>
      </c>
      <c r="J30" s="157">
        <v>0</v>
      </c>
      <c r="K30" s="158">
        <v>0</v>
      </c>
    </row>
    <row r="31" spans="1:11" x14ac:dyDescent="0.25">
      <c r="A31" s="60">
        <v>141</v>
      </c>
      <c r="B31" s="60" t="s">
        <v>117</v>
      </c>
      <c r="C31" s="60">
        <v>1098</v>
      </c>
      <c r="D31" s="60">
        <v>0</v>
      </c>
      <c r="E31" s="155">
        <v>262</v>
      </c>
      <c r="F31" s="156">
        <v>0</v>
      </c>
      <c r="G31" s="157">
        <v>0</v>
      </c>
      <c r="H31" s="157">
        <v>71031</v>
      </c>
      <c r="I31" s="157">
        <v>0</v>
      </c>
      <c r="J31" s="157">
        <v>0</v>
      </c>
      <c r="K31" s="158">
        <v>71031</v>
      </c>
    </row>
    <row r="32" spans="1:11" x14ac:dyDescent="0.25">
      <c r="A32" s="60">
        <v>151</v>
      </c>
      <c r="B32" s="60" t="s">
        <v>117</v>
      </c>
      <c r="C32" s="60">
        <v>1000</v>
      </c>
      <c r="D32" s="60">
        <v>0</v>
      </c>
      <c r="E32" s="155">
        <v>272</v>
      </c>
      <c r="F32" s="156">
        <v>0</v>
      </c>
      <c r="G32" s="157">
        <v>0</v>
      </c>
      <c r="H32" s="157">
        <v>290455</v>
      </c>
      <c r="I32" s="157">
        <v>16800</v>
      </c>
      <c r="J32" s="157">
        <v>0</v>
      </c>
      <c r="K32" s="158">
        <v>307255</v>
      </c>
    </row>
    <row r="33" spans="1:11" x14ac:dyDescent="0.25">
      <c r="A33" s="60">
        <v>161</v>
      </c>
      <c r="B33" s="60" t="s">
        <v>117</v>
      </c>
      <c r="C33" s="60">
        <v>1000</v>
      </c>
      <c r="D33" s="60">
        <v>0</v>
      </c>
      <c r="E33" s="155">
        <v>282</v>
      </c>
      <c r="F33" s="156">
        <v>0</v>
      </c>
      <c r="G33" s="157">
        <v>0</v>
      </c>
      <c r="H33" s="157">
        <v>0</v>
      </c>
      <c r="I33" s="157"/>
      <c r="J33" s="157">
        <v>0</v>
      </c>
      <c r="K33" s="158">
        <v>0</v>
      </c>
    </row>
    <row r="34" spans="1:11" x14ac:dyDescent="0.25">
      <c r="A34" s="60">
        <v>171</v>
      </c>
      <c r="B34" s="60" t="s">
        <v>117</v>
      </c>
      <c r="C34" s="60">
        <v>1000</v>
      </c>
      <c r="D34" s="60">
        <v>0</v>
      </c>
      <c r="E34" s="155">
        <v>292</v>
      </c>
      <c r="F34" s="156">
        <v>0</v>
      </c>
      <c r="G34" s="157">
        <v>0</v>
      </c>
      <c r="H34" s="157">
        <v>1</v>
      </c>
      <c r="I34" s="157">
        <v>1422980</v>
      </c>
      <c r="J34" s="157"/>
      <c r="K34" s="158">
        <v>1422981</v>
      </c>
    </row>
    <row r="35" spans="1:11" x14ac:dyDescent="0.25">
      <c r="A35" s="60">
        <v>171</v>
      </c>
      <c r="B35" s="60" t="s">
        <v>117</v>
      </c>
      <c r="C35" s="60">
        <v>1098</v>
      </c>
      <c r="D35" s="60">
        <v>0</v>
      </c>
      <c r="E35" s="155">
        <v>301</v>
      </c>
      <c r="F35" s="156">
        <v>0</v>
      </c>
      <c r="G35" s="157"/>
      <c r="H35" s="157"/>
      <c r="I35" s="157"/>
      <c r="J35" s="157"/>
      <c r="K35" s="158">
        <v>0</v>
      </c>
    </row>
    <row r="36" spans="1:11" x14ac:dyDescent="0.25">
      <c r="A36" s="60">
        <v>181</v>
      </c>
      <c r="B36" s="60" t="s">
        <v>117</v>
      </c>
      <c r="C36" s="60">
        <v>1000</v>
      </c>
      <c r="D36" s="60">
        <v>0</v>
      </c>
      <c r="E36" s="155">
        <v>311</v>
      </c>
      <c r="F36" s="156">
        <v>0</v>
      </c>
      <c r="G36" s="157">
        <v>15520</v>
      </c>
      <c r="H36" s="157">
        <v>19162</v>
      </c>
      <c r="I36" s="157">
        <v>203160</v>
      </c>
      <c r="J36" s="157"/>
      <c r="K36" s="158">
        <v>237842</v>
      </c>
    </row>
    <row r="37" spans="1:11" x14ac:dyDescent="0.25">
      <c r="A37" s="60">
        <v>181</v>
      </c>
      <c r="B37" s="60" t="s">
        <v>117</v>
      </c>
      <c r="C37" s="60">
        <v>1010</v>
      </c>
      <c r="D37" s="60">
        <v>0</v>
      </c>
      <c r="E37" s="155">
        <v>331</v>
      </c>
      <c r="F37" s="156">
        <v>0</v>
      </c>
      <c r="G37" s="157">
        <v>0</v>
      </c>
      <c r="H37" s="157">
        <v>0</v>
      </c>
      <c r="I37" s="157">
        <v>0</v>
      </c>
      <c r="J37" s="157"/>
      <c r="K37" s="158">
        <v>0</v>
      </c>
    </row>
    <row r="38" spans="1:11" x14ac:dyDescent="0.25">
      <c r="A38" s="60">
        <v>181</v>
      </c>
      <c r="B38" s="60" t="s">
        <v>117</v>
      </c>
      <c r="C38" s="60">
        <v>1098</v>
      </c>
      <c r="D38" s="60">
        <v>0</v>
      </c>
      <c r="E38" s="155">
        <v>341</v>
      </c>
      <c r="F38" s="156">
        <v>0</v>
      </c>
      <c r="G38" s="157">
        <v>0</v>
      </c>
      <c r="H38" s="157">
        <v>1288904</v>
      </c>
      <c r="I38" s="157">
        <v>293420</v>
      </c>
      <c r="J38" s="157">
        <v>0</v>
      </c>
      <c r="K38" s="158">
        <v>1582324</v>
      </c>
    </row>
    <row r="39" spans="1:11" x14ac:dyDescent="0.25">
      <c r="A39" s="60">
        <v>182</v>
      </c>
      <c r="B39" s="60" t="s">
        <v>117</v>
      </c>
      <c r="C39" s="60">
        <v>1000</v>
      </c>
      <c r="D39" s="60">
        <v>0</v>
      </c>
      <c r="E39" s="155">
        <v>351</v>
      </c>
      <c r="F39" s="156">
        <v>0</v>
      </c>
      <c r="G39" s="157">
        <v>0</v>
      </c>
      <c r="H39" s="157">
        <v>0</v>
      </c>
      <c r="I39" s="157">
        <v>0</v>
      </c>
      <c r="J39" s="157"/>
      <c r="K39" s="158">
        <v>0</v>
      </c>
    </row>
    <row r="40" spans="1:11" x14ac:dyDescent="0.25">
      <c r="A40" s="60">
        <v>182</v>
      </c>
      <c r="B40" s="60" t="s">
        <v>117</v>
      </c>
      <c r="C40" s="60">
        <v>1010</v>
      </c>
      <c r="D40" s="60">
        <v>0</v>
      </c>
      <c r="E40" s="155">
        <v>432</v>
      </c>
      <c r="F40" s="156">
        <v>0</v>
      </c>
      <c r="G40" s="157">
        <v>0</v>
      </c>
      <c r="H40" s="157">
        <v>0</v>
      </c>
      <c r="I40" s="157">
        <v>282570</v>
      </c>
      <c r="J40" s="157"/>
      <c r="K40" s="158">
        <v>282570</v>
      </c>
    </row>
    <row r="41" spans="1:11" x14ac:dyDescent="0.25">
      <c r="A41" s="60">
        <v>183</v>
      </c>
      <c r="B41" s="60" t="s">
        <v>117</v>
      </c>
      <c r="C41" s="60">
        <v>1000</v>
      </c>
      <c r="D41" s="60">
        <v>0</v>
      </c>
      <c r="E41" s="155">
        <v>433</v>
      </c>
      <c r="F41" s="156">
        <v>0</v>
      </c>
      <c r="G41" s="157">
        <v>0</v>
      </c>
      <c r="H41" s="157">
        <v>0</v>
      </c>
      <c r="I41" s="157">
        <v>0</v>
      </c>
      <c r="J41" s="157"/>
      <c r="K41" s="158">
        <v>0</v>
      </c>
    </row>
    <row r="42" spans="1:11" x14ac:dyDescent="0.25">
      <c r="A42" s="60">
        <v>183</v>
      </c>
      <c r="B42" s="60" t="s">
        <v>117</v>
      </c>
      <c r="C42" s="60">
        <v>1098</v>
      </c>
      <c r="D42" s="60">
        <v>0</v>
      </c>
      <c r="E42" s="155">
        <v>442</v>
      </c>
      <c r="F42" s="156">
        <v>0</v>
      </c>
      <c r="G42" s="157">
        <v>0</v>
      </c>
      <c r="H42" s="157">
        <v>0</v>
      </c>
      <c r="I42" s="157">
        <v>47456</v>
      </c>
      <c r="J42" s="157"/>
      <c r="K42" s="158">
        <v>47456</v>
      </c>
    </row>
    <row r="43" spans="1:11" x14ac:dyDescent="0.25">
      <c r="A43" s="60">
        <v>185</v>
      </c>
      <c r="B43" s="60" t="s">
        <v>117</v>
      </c>
      <c r="C43" s="60">
        <v>1000</v>
      </c>
      <c r="D43" s="60">
        <v>0</v>
      </c>
      <c r="E43" s="155">
        <v>443</v>
      </c>
      <c r="F43" s="156">
        <v>0</v>
      </c>
      <c r="G43" s="157">
        <v>0</v>
      </c>
      <c r="H43" s="157">
        <v>0</v>
      </c>
      <c r="I43" s="157">
        <v>0</v>
      </c>
      <c r="J43" s="157"/>
      <c r="K43" s="158">
        <v>0</v>
      </c>
    </row>
    <row r="44" spans="1:11" x14ac:dyDescent="0.25">
      <c r="A44" s="60">
        <v>185</v>
      </c>
      <c r="B44" s="60" t="s">
        <v>117</v>
      </c>
      <c r="C44" s="60">
        <v>1010</v>
      </c>
      <c r="D44" s="60">
        <v>0</v>
      </c>
      <c r="E44" s="155">
        <v>510</v>
      </c>
      <c r="F44" s="156">
        <v>1802320</v>
      </c>
      <c r="G44" s="157">
        <v>0</v>
      </c>
      <c r="H44" s="157">
        <v>0</v>
      </c>
      <c r="I44" s="157">
        <v>0</v>
      </c>
      <c r="J44" s="157">
        <v>0</v>
      </c>
      <c r="K44" s="158">
        <v>1802320</v>
      </c>
    </row>
    <row r="45" spans="1:11" x14ac:dyDescent="0.25">
      <c r="A45" s="60">
        <v>185</v>
      </c>
      <c r="B45" s="60" t="s">
        <v>117</v>
      </c>
      <c r="C45" s="60">
        <v>1098</v>
      </c>
      <c r="D45" s="60">
        <v>0</v>
      </c>
      <c r="E45" s="155">
        <v>530</v>
      </c>
      <c r="F45" s="156">
        <v>0</v>
      </c>
      <c r="G45" s="157">
        <v>0</v>
      </c>
      <c r="H45" s="157">
        <v>0</v>
      </c>
      <c r="I45" s="157">
        <v>0</v>
      </c>
      <c r="J45" s="157">
        <v>0</v>
      </c>
      <c r="K45" s="158">
        <v>0</v>
      </c>
    </row>
    <row r="46" spans="1:11" x14ac:dyDescent="0.25">
      <c r="A46" s="60">
        <v>187</v>
      </c>
      <c r="B46" s="60" t="s">
        <v>117</v>
      </c>
      <c r="C46" s="60">
        <v>1000</v>
      </c>
      <c r="D46" s="60">
        <v>0</v>
      </c>
      <c r="E46" s="155">
        <v>540</v>
      </c>
      <c r="F46" s="156">
        <v>0</v>
      </c>
      <c r="G46" s="157">
        <v>74163</v>
      </c>
      <c r="H46" s="157">
        <v>0</v>
      </c>
      <c r="I46" s="157">
        <v>0</v>
      </c>
      <c r="J46" s="157"/>
      <c r="K46" s="158">
        <v>74163</v>
      </c>
    </row>
    <row r="47" spans="1:11" x14ac:dyDescent="0.25">
      <c r="A47" s="60">
        <v>188</v>
      </c>
      <c r="B47" s="60" t="s">
        <v>117</v>
      </c>
      <c r="C47" s="60">
        <v>1000</v>
      </c>
      <c r="D47" s="60">
        <v>0</v>
      </c>
      <c r="E47" s="155">
        <v>571</v>
      </c>
      <c r="F47" s="156">
        <v>0</v>
      </c>
      <c r="G47" s="157">
        <v>0</v>
      </c>
      <c r="H47" s="157">
        <v>0</v>
      </c>
      <c r="I47" s="157">
        <v>0</v>
      </c>
      <c r="J47" s="157"/>
      <c r="K47" s="158">
        <v>0</v>
      </c>
    </row>
    <row r="48" spans="1:11" x14ac:dyDescent="0.25">
      <c r="A48" s="60">
        <v>190</v>
      </c>
      <c r="B48" s="60" t="s">
        <v>117</v>
      </c>
      <c r="C48" s="60">
        <v>1000</v>
      </c>
      <c r="D48" s="60">
        <v>0</v>
      </c>
      <c r="E48" s="155">
        <v>601</v>
      </c>
      <c r="F48" s="156">
        <v>0</v>
      </c>
      <c r="G48" s="157">
        <v>0</v>
      </c>
      <c r="H48" s="157">
        <v>0</v>
      </c>
      <c r="I48" s="157">
        <v>0</v>
      </c>
      <c r="J48" s="157"/>
      <c r="K48" s="158">
        <v>0</v>
      </c>
    </row>
    <row r="49" spans="1:11" x14ac:dyDescent="0.25">
      <c r="A49" s="60">
        <v>190</v>
      </c>
      <c r="B49" s="60" t="s">
        <v>117</v>
      </c>
      <c r="C49" s="60">
        <v>1098</v>
      </c>
      <c r="D49" s="60">
        <v>0</v>
      </c>
      <c r="E49" s="155">
        <v>602</v>
      </c>
      <c r="F49" s="156">
        <v>0</v>
      </c>
      <c r="G49" s="157">
        <v>0</v>
      </c>
      <c r="H49" s="157">
        <v>0</v>
      </c>
      <c r="I49" s="157">
        <v>0</v>
      </c>
      <c r="J49" s="157"/>
      <c r="K49" s="158">
        <v>0</v>
      </c>
    </row>
    <row r="50" spans="1:11" x14ac:dyDescent="0.25">
      <c r="A50" s="60">
        <v>191</v>
      </c>
      <c r="B50" s="60" t="s">
        <v>117</v>
      </c>
      <c r="C50" s="60">
        <v>1000</v>
      </c>
      <c r="D50" s="60">
        <v>0</v>
      </c>
      <c r="E50" s="155">
        <v>603</v>
      </c>
      <c r="F50" s="156">
        <v>0</v>
      </c>
      <c r="G50" s="157">
        <v>0</v>
      </c>
      <c r="H50" s="157"/>
      <c r="I50" s="157"/>
      <c r="J50" s="157"/>
      <c r="K50" s="158">
        <v>0</v>
      </c>
    </row>
    <row r="51" spans="1:11" x14ac:dyDescent="0.25">
      <c r="A51" s="60">
        <v>191</v>
      </c>
      <c r="B51" s="60" t="s">
        <v>117</v>
      </c>
      <c r="C51" s="60">
        <v>1098</v>
      </c>
      <c r="D51" s="60">
        <v>0</v>
      </c>
      <c r="E51" s="155">
        <v>605</v>
      </c>
      <c r="F51" s="156">
        <v>0</v>
      </c>
      <c r="G51" s="157"/>
      <c r="H51" s="157">
        <v>0</v>
      </c>
      <c r="I51" s="157">
        <v>0</v>
      </c>
      <c r="J51" s="157"/>
      <c r="K51" s="158">
        <v>0</v>
      </c>
    </row>
    <row r="52" spans="1:11" x14ac:dyDescent="0.25">
      <c r="A52" s="60">
        <v>192</v>
      </c>
      <c r="B52" s="60" t="s">
        <v>117</v>
      </c>
      <c r="C52" s="60">
        <v>1000</v>
      </c>
      <c r="D52" s="60">
        <v>0</v>
      </c>
      <c r="E52" s="155">
        <v>215</v>
      </c>
      <c r="F52" s="156">
        <v>0</v>
      </c>
      <c r="G52" s="157">
        <v>0</v>
      </c>
      <c r="H52" s="157"/>
      <c r="I52" s="157">
        <v>0</v>
      </c>
      <c r="J52" s="157"/>
      <c r="K52" s="158">
        <v>0</v>
      </c>
    </row>
    <row r="53" spans="1:11" x14ac:dyDescent="0.25">
      <c r="A53" s="60">
        <v>192</v>
      </c>
      <c r="B53" s="60" t="s">
        <v>117</v>
      </c>
      <c r="C53" s="60">
        <v>1010</v>
      </c>
      <c r="D53" s="60">
        <v>0</v>
      </c>
      <c r="E53" s="155">
        <v>361</v>
      </c>
      <c r="F53" s="156">
        <v>10308</v>
      </c>
      <c r="G53" s="157"/>
      <c r="H53" s="157">
        <v>0</v>
      </c>
      <c r="I53" s="157"/>
      <c r="J53" s="157"/>
      <c r="K53" s="158">
        <v>10308</v>
      </c>
    </row>
    <row r="54" spans="1:11" x14ac:dyDescent="0.25">
      <c r="A54" s="60">
        <v>192</v>
      </c>
      <c r="B54" s="60" t="s">
        <v>117</v>
      </c>
      <c r="C54" s="60">
        <v>1080</v>
      </c>
      <c r="D54" s="60">
        <v>0</v>
      </c>
      <c r="E54" s="155">
        <v>520</v>
      </c>
      <c r="F54" s="156">
        <v>0</v>
      </c>
      <c r="G54" s="157">
        <v>0</v>
      </c>
      <c r="H54" s="157"/>
      <c r="I54" s="157">
        <v>0</v>
      </c>
      <c r="J54" s="157">
        <v>30374</v>
      </c>
      <c r="K54" s="158">
        <v>30374</v>
      </c>
    </row>
    <row r="55" spans="1:11" x14ac:dyDescent="0.25">
      <c r="A55" s="60">
        <v>192</v>
      </c>
      <c r="B55" s="60" t="s">
        <v>117</v>
      </c>
      <c r="C55" s="60">
        <v>1098</v>
      </c>
      <c r="D55" s="60">
        <v>0</v>
      </c>
      <c r="E55" s="155">
        <v>181</v>
      </c>
      <c r="F55" s="156">
        <v>0</v>
      </c>
      <c r="G55" s="157">
        <v>0</v>
      </c>
      <c r="H55" s="157">
        <v>0</v>
      </c>
      <c r="I55" s="157">
        <v>0</v>
      </c>
      <c r="J55" s="157"/>
      <c r="K55" s="158">
        <v>0</v>
      </c>
    </row>
    <row r="56" spans="1:11" x14ac:dyDescent="0.25">
      <c r="A56" s="60">
        <v>193</v>
      </c>
      <c r="B56" s="60" t="s">
        <v>117</v>
      </c>
      <c r="C56" s="60">
        <v>1000</v>
      </c>
      <c r="D56" s="60">
        <v>0</v>
      </c>
      <c r="E56" s="155">
        <v>192</v>
      </c>
      <c r="F56" s="156">
        <v>0</v>
      </c>
      <c r="G56" s="157">
        <v>0</v>
      </c>
      <c r="H56" s="157">
        <v>0</v>
      </c>
      <c r="I56" s="157">
        <v>0</v>
      </c>
      <c r="J56" s="157">
        <v>0</v>
      </c>
      <c r="K56" s="158">
        <v>0</v>
      </c>
    </row>
    <row r="57" spans="1:11" x14ac:dyDescent="0.25">
      <c r="A57" s="60">
        <v>193</v>
      </c>
      <c r="B57" s="60" t="s">
        <v>117</v>
      </c>
      <c r="C57" s="60">
        <v>1010</v>
      </c>
      <c r="D57" s="60">
        <v>0</v>
      </c>
      <c r="E57" s="155">
        <v>193</v>
      </c>
      <c r="F57" s="156">
        <v>0</v>
      </c>
      <c r="G57" s="157">
        <v>0</v>
      </c>
      <c r="H57" s="157">
        <v>52126</v>
      </c>
      <c r="I57" s="157">
        <v>3360</v>
      </c>
      <c r="J57" s="157"/>
      <c r="K57" s="158">
        <v>55486</v>
      </c>
    </row>
    <row r="58" spans="1:11" x14ac:dyDescent="0.25">
      <c r="A58" s="60">
        <v>193</v>
      </c>
      <c r="B58" s="60" t="s">
        <v>117</v>
      </c>
      <c r="C58" s="60">
        <v>1080</v>
      </c>
      <c r="D58" s="60">
        <v>0</v>
      </c>
      <c r="E58" s="155">
        <v>194</v>
      </c>
      <c r="F58" s="156">
        <v>0</v>
      </c>
      <c r="G58" s="157">
        <v>0</v>
      </c>
      <c r="H58" s="157">
        <v>0</v>
      </c>
      <c r="I58" s="157">
        <v>0</v>
      </c>
      <c r="J58" s="157"/>
      <c r="K58" s="158">
        <v>0</v>
      </c>
    </row>
    <row r="59" spans="1:11" x14ac:dyDescent="0.25">
      <c r="A59" s="60">
        <v>193</v>
      </c>
      <c r="B59" s="60" t="s">
        <v>117</v>
      </c>
      <c r="C59" s="60">
        <v>1098</v>
      </c>
      <c r="D59" s="60">
        <v>0</v>
      </c>
      <c r="E59" s="155">
        <v>197</v>
      </c>
      <c r="F59" s="156">
        <v>0</v>
      </c>
      <c r="G59" s="157">
        <v>0</v>
      </c>
      <c r="H59" s="157"/>
      <c r="I59" s="157"/>
      <c r="J59" s="157"/>
      <c r="K59" s="158">
        <v>0</v>
      </c>
    </row>
    <row r="60" spans="1:11" x14ac:dyDescent="0.25">
      <c r="A60" s="60">
        <v>194</v>
      </c>
      <c r="B60" s="60" t="s">
        <v>117</v>
      </c>
      <c r="C60" s="60">
        <v>1000</v>
      </c>
      <c r="D60" s="60">
        <v>0</v>
      </c>
      <c r="E60" s="155">
        <v>196</v>
      </c>
      <c r="F60" s="156">
        <v>0</v>
      </c>
      <c r="G60" s="157">
        <v>0</v>
      </c>
      <c r="H60" s="157">
        <v>0</v>
      </c>
      <c r="I60" s="157">
        <v>0</v>
      </c>
      <c r="J60" s="157">
        <v>0</v>
      </c>
      <c r="K60" s="158">
        <v>0</v>
      </c>
    </row>
    <row r="61" spans="1:11" x14ac:dyDescent="0.25">
      <c r="A61" s="60">
        <v>194</v>
      </c>
      <c r="B61" s="60" t="s">
        <v>117</v>
      </c>
      <c r="C61" s="60">
        <v>1098</v>
      </c>
      <c r="D61" s="60">
        <v>0</v>
      </c>
      <c r="E61" s="155">
        <v>195</v>
      </c>
      <c r="F61" s="156">
        <v>154632</v>
      </c>
      <c r="G61" s="157">
        <v>0</v>
      </c>
      <c r="H61" s="157">
        <v>0</v>
      </c>
      <c r="I61" s="157">
        <v>0</v>
      </c>
      <c r="J61" s="157">
        <v>0</v>
      </c>
      <c r="K61" s="158">
        <v>154632</v>
      </c>
    </row>
    <row r="62" spans="1:11" x14ac:dyDescent="0.25">
      <c r="A62" s="60">
        <v>195</v>
      </c>
      <c r="B62" s="60" t="s">
        <v>117</v>
      </c>
      <c r="C62" s="60">
        <v>1000</v>
      </c>
      <c r="D62" s="60">
        <v>154632</v>
      </c>
      <c r="E62" s="155">
        <v>198</v>
      </c>
      <c r="F62" s="156">
        <v>0</v>
      </c>
      <c r="G62" s="157">
        <v>0</v>
      </c>
      <c r="H62" s="157">
        <v>0</v>
      </c>
      <c r="I62" s="157"/>
      <c r="J62" s="157">
        <v>0</v>
      </c>
      <c r="K62" s="158">
        <v>0</v>
      </c>
    </row>
    <row r="63" spans="1:11" x14ac:dyDescent="0.25">
      <c r="A63" s="60">
        <v>195</v>
      </c>
      <c r="B63" s="60" t="s">
        <v>117</v>
      </c>
      <c r="C63" s="60">
        <v>1010</v>
      </c>
      <c r="D63" s="60">
        <v>0</v>
      </c>
      <c r="E63" s="155">
        <v>315</v>
      </c>
      <c r="F63" s="156"/>
      <c r="G63" s="157">
        <v>0</v>
      </c>
      <c r="H63" s="157"/>
      <c r="I63" s="157">
        <v>0</v>
      </c>
      <c r="J63" s="157"/>
      <c r="K63" s="158">
        <v>0</v>
      </c>
    </row>
    <row r="64" spans="1:11" x14ac:dyDescent="0.25">
      <c r="A64" s="60">
        <v>195</v>
      </c>
      <c r="B64" s="60" t="s">
        <v>117</v>
      </c>
      <c r="C64" s="60">
        <v>1080</v>
      </c>
      <c r="D64" s="60">
        <v>0</v>
      </c>
      <c r="E64" s="155">
        <v>445</v>
      </c>
      <c r="F64" s="156">
        <v>0</v>
      </c>
      <c r="G64" s="157"/>
      <c r="H64" s="157"/>
      <c r="I64" s="157">
        <v>0</v>
      </c>
      <c r="J64" s="157"/>
      <c r="K64" s="158">
        <v>0</v>
      </c>
    </row>
    <row r="65" spans="1:11" x14ac:dyDescent="0.25">
      <c r="A65" s="60">
        <v>195</v>
      </c>
      <c r="B65" s="60" t="s">
        <v>117</v>
      </c>
      <c r="C65" s="60">
        <v>1098</v>
      </c>
      <c r="D65" s="60">
        <v>0</v>
      </c>
      <c r="E65" s="155">
        <v>992</v>
      </c>
      <c r="F65" s="156"/>
      <c r="G65" s="157"/>
      <c r="H65" s="157"/>
      <c r="I65" s="157"/>
      <c r="J65" s="157">
        <v>0</v>
      </c>
      <c r="K65" s="158">
        <v>0</v>
      </c>
    </row>
    <row r="66" spans="1:11" x14ac:dyDescent="0.25">
      <c r="A66" s="60">
        <v>196</v>
      </c>
      <c r="B66" s="60" t="s">
        <v>117</v>
      </c>
      <c r="C66" s="60">
        <v>1000</v>
      </c>
      <c r="D66" s="60">
        <v>0</v>
      </c>
      <c r="E66" s="155">
        <v>964</v>
      </c>
      <c r="F66" s="156">
        <v>0</v>
      </c>
      <c r="G66" s="157"/>
      <c r="H66" s="157">
        <v>0</v>
      </c>
      <c r="I66" s="157"/>
      <c r="J66" s="157"/>
      <c r="K66" s="158">
        <v>0</v>
      </c>
    </row>
    <row r="67" spans="1:11" x14ac:dyDescent="0.25">
      <c r="A67" s="60">
        <v>196</v>
      </c>
      <c r="B67" s="60" t="s">
        <v>117</v>
      </c>
      <c r="C67" s="60">
        <v>1080</v>
      </c>
      <c r="D67" s="60">
        <v>0</v>
      </c>
      <c r="E67" s="155">
        <v>936</v>
      </c>
      <c r="F67" s="156">
        <v>0</v>
      </c>
      <c r="G67" s="157"/>
      <c r="H67" s="157"/>
      <c r="I67" s="157"/>
      <c r="J67" s="157"/>
      <c r="K67" s="158">
        <v>0</v>
      </c>
    </row>
    <row r="68" spans="1:11" x14ac:dyDescent="0.25">
      <c r="A68" s="60">
        <v>196</v>
      </c>
      <c r="B68" s="60" t="s">
        <v>117</v>
      </c>
      <c r="C68" s="60">
        <v>1098</v>
      </c>
      <c r="D68" s="60">
        <v>0</v>
      </c>
      <c r="E68" s="155">
        <v>938</v>
      </c>
      <c r="F68" s="156">
        <v>0</v>
      </c>
      <c r="G68" s="157"/>
      <c r="H68" s="157"/>
      <c r="I68" s="157"/>
      <c r="J68" s="157"/>
      <c r="K68" s="158">
        <v>0</v>
      </c>
    </row>
    <row r="69" spans="1:11" x14ac:dyDescent="0.25">
      <c r="A69" s="60">
        <v>197</v>
      </c>
      <c r="B69" s="60" t="s">
        <v>117</v>
      </c>
      <c r="C69" s="60">
        <v>1000</v>
      </c>
      <c r="D69" s="60">
        <v>0</v>
      </c>
      <c r="E69" s="155">
        <v>939</v>
      </c>
      <c r="F69" s="156">
        <v>0</v>
      </c>
      <c r="G69" s="157"/>
      <c r="H69" s="157"/>
      <c r="I69" s="157"/>
      <c r="J69" s="157"/>
      <c r="K69" s="158">
        <v>0</v>
      </c>
    </row>
    <row r="70" spans="1:11" x14ac:dyDescent="0.25">
      <c r="A70" s="60">
        <v>197</v>
      </c>
      <c r="B70" s="60" t="s">
        <v>117</v>
      </c>
      <c r="C70" s="60">
        <v>1010</v>
      </c>
      <c r="D70" s="60">
        <v>0</v>
      </c>
      <c r="E70" s="155">
        <v>961</v>
      </c>
      <c r="F70" s="156">
        <v>0</v>
      </c>
      <c r="G70" s="157">
        <v>0</v>
      </c>
      <c r="H70" s="157"/>
      <c r="I70" s="157">
        <v>0</v>
      </c>
      <c r="J70" s="157"/>
      <c r="K70" s="158">
        <v>0</v>
      </c>
    </row>
    <row r="71" spans="1:11" x14ac:dyDescent="0.25">
      <c r="A71" s="60">
        <v>198</v>
      </c>
      <c r="B71" s="60" t="s">
        <v>117</v>
      </c>
      <c r="C71" s="60">
        <v>1000</v>
      </c>
      <c r="D71" s="60">
        <v>0</v>
      </c>
      <c r="E71" s="155">
        <v>199</v>
      </c>
      <c r="F71" s="156">
        <v>0</v>
      </c>
      <c r="G71" s="157"/>
      <c r="H71" s="157"/>
      <c r="I71" s="157"/>
      <c r="J71" s="157"/>
      <c r="K71" s="158">
        <v>0</v>
      </c>
    </row>
    <row r="72" spans="1:11" x14ac:dyDescent="0.25">
      <c r="A72" s="60">
        <v>199</v>
      </c>
      <c r="B72" s="60" t="s">
        <v>117</v>
      </c>
      <c r="C72" s="60">
        <v>1000</v>
      </c>
      <c r="D72" s="60">
        <v>0</v>
      </c>
      <c r="E72" s="155">
        <v>190</v>
      </c>
      <c r="F72" s="156">
        <v>0</v>
      </c>
      <c r="G72" s="157"/>
      <c r="H72" s="157"/>
      <c r="I72" s="157">
        <v>0</v>
      </c>
      <c r="J72" s="157"/>
      <c r="K72" s="158">
        <v>0</v>
      </c>
    </row>
    <row r="73" spans="1:11" x14ac:dyDescent="0.25">
      <c r="A73" s="60">
        <v>201</v>
      </c>
      <c r="B73" s="60" t="s">
        <v>117</v>
      </c>
      <c r="C73" s="60">
        <v>1010</v>
      </c>
      <c r="D73" s="60">
        <v>0</v>
      </c>
      <c r="E73" s="155">
        <v>447</v>
      </c>
      <c r="F73" s="156">
        <v>0</v>
      </c>
      <c r="G73" s="157">
        <v>0</v>
      </c>
      <c r="H73" s="157">
        <v>0</v>
      </c>
      <c r="I73" s="157">
        <v>365378</v>
      </c>
      <c r="J73" s="157"/>
      <c r="K73" s="158">
        <v>365378</v>
      </c>
    </row>
    <row r="74" spans="1:11" x14ac:dyDescent="0.25">
      <c r="A74" s="60">
        <v>205</v>
      </c>
      <c r="B74" s="60" t="s">
        <v>117</v>
      </c>
      <c r="C74" s="60">
        <v>1000</v>
      </c>
      <c r="D74" s="60">
        <v>194607</v>
      </c>
      <c r="E74" s="155">
        <v>245</v>
      </c>
      <c r="F74" s="156">
        <v>0</v>
      </c>
      <c r="G74" s="157"/>
      <c r="H74" s="157"/>
      <c r="I74" s="157">
        <v>0</v>
      </c>
      <c r="J74" s="157"/>
      <c r="K74" s="158">
        <v>0</v>
      </c>
    </row>
    <row r="75" spans="1:11" x14ac:dyDescent="0.25">
      <c r="A75" s="60">
        <v>205</v>
      </c>
      <c r="B75" s="60" t="s">
        <v>117</v>
      </c>
      <c r="C75" s="60">
        <v>1098</v>
      </c>
      <c r="D75" s="60">
        <v>0</v>
      </c>
      <c r="E75" s="155">
        <v>958</v>
      </c>
      <c r="F75" s="156">
        <v>0</v>
      </c>
      <c r="G75" s="157"/>
      <c r="H75" s="157"/>
      <c r="I75" s="157"/>
      <c r="J75" s="157"/>
      <c r="K75" s="158">
        <v>0</v>
      </c>
    </row>
    <row r="76" spans="1:11" x14ac:dyDescent="0.25">
      <c r="A76" s="60">
        <v>212</v>
      </c>
      <c r="B76" s="60" t="s">
        <v>117</v>
      </c>
      <c r="C76" s="60">
        <v>1000</v>
      </c>
      <c r="D76" s="60">
        <v>-20736</v>
      </c>
      <c r="E76" s="155">
        <v>960</v>
      </c>
      <c r="F76" s="156">
        <v>0</v>
      </c>
      <c r="G76" s="157"/>
      <c r="H76" s="157"/>
      <c r="I76" s="157"/>
      <c r="J76" s="157"/>
      <c r="K76" s="158">
        <v>0</v>
      </c>
    </row>
    <row r="77" spans="1:11" x14ac:dyDescent="0.25">
      <c r="A77" s="60">
        <v>212</v>
      </c>
      <c r="B77" s="60" t="s">
        <v>117</v>
      </c>
      <c r="C77" s="60">
        <v>1098</v>
      </c>
      <c r="D77" s="60">
        <v>0</v>
      </c>
      <c r="E77" s="155">
        <v>967</v>
      </c>
      <c r="F77" s="156">
        <v>0</v>
      </c>
      <c r="G77" s="157"/>
      <c r="H77" s="157"/>
      <c r="I77" s="157"/>
      <c r="J77" s="157"/>
      <c r="K77" s="158">
        <v>0</v>
      </c>
    </row>
    <row r="78" spans="1:11" x14ac:dyDescent="0.25">
      <c r="A78" s="60">
        <v>215</v>
      </c>
      <c r="B78" s="60" t="s">
        <v>117</v>
      </c>
      <c r="C78" s="60">
        <v>1000</v>
      </c>
      <c r="D78" s="60">
        <v>0</v>
      </c>
      <c r="E78" s="155">
        <v>544</v>
      </c>
      <c r="F78" s="156">
        <v>7692</v>
      </c>
      <c r="G78" s="157">
        <v>0</v>
      </c>
      <c r="H78" s="157">
        <v>0</v>
      </c>
      <c r="I78" s="157">
        <v>0</v>
      </c>
      <c r="J78" s="157"/>
      <c r="K78" s="158">
        <v>7692</v>
      </c>
    </row>
    <row r="79" spans="1:11" x14ac:dyDescent="0.25">
      <c r="A79" s="60">
        <v>222</v>
      </c>
      <c r="B79" s="60" t="s">
        <v>117</v>
      </c>
      <c r="C79" s="60">
        <v>1000</v>
      </c>
      <c r="D79" s="60">
        <v>0</v>
      </c>
      <c r="E79" s="155">
        <v>551</v>
      </c>
      <c r="F79" s="156">
        <v>0</v>
      </c>
      <c r="G79" s="157">
        <v>231404</v>
      </c>
      <c r="H79" s="157">
        <v>177544</v>
      </c>
      <c r="I79" s="157">
        <v>191863</v>
      </c>
      <c r="J79" s="157"/>
      <c r="K79" s="158">
        <v>600811</v>
      </c>
    </row>
    <row r="80" spans="1:11" x14ac:dyDescent="0.25">
      <c r="A80" s="60">
        <v>222</v>
      </c>
      <c r="B80" s="60" t="s">
        <v>117</v>
      </c>
      <c r="C80" s="60">
        <v>1098</v>
      </c>
      <c r="D80" s="60">
        <v>0</v>
      </c>
      <c r="E80" s="155">
        <v>542</v>
      </c>
      <c r="F80" s="156">
        <v>0</v>
      </c>
      <c r="G80" s="157">
        <v>0</v>
      </c>
      <c r="H80" s="157">
        <v>0</v>
      </c>
      <c r="I80" s="157">
        <v>0</v>
      </c>
      <c r="J80" s="157">
        <v>0</v>
      </c>
      <c r="K80" s="158">
        <v>0</v>
      </c>
    </row>
    <row r="81" spans="1:11" x14ac:dyDescent="0.25">
      <c r="A81" s="60">
        <v>242</v>
      </c>
      <c r="B81" s="60" t="s">
        <v>117</v>
      </c>
      <c r="C81" s="60">
        <v>1000</v>
      </c>
      <c r="D81" s="60">
        <v>0</v>
      </c>
      <c r="E81" s="155">
        <v>543</v>
      </c>
      <c r="F81" s="156">
        <v>1175473</v>
      </c>
      <c r="G81" s="157">
        <v>0</v>
      </c>
      <c r="H81" s="157">
        <v>0</v>
      </c>
      <c r="I81" s="157">
        <v>0</v>
      </c>
      <c r="J81" s="157"/>
      <c r="K81" s="158">
        <v>1175473</v>
      </c>
    </row>
    <row r="82" spans="1:11" x14ac:dyDescent="0.25">
      <c r="A82" s="60">
        <v>242</v>
      </c>
      <c r="B82" s="60" t="s">
        <v>117</v>
      </c>
      <c r="C82" s="60">
        <v>1098</v>
      </c>
      <c r="D82" s="60">
        <v>0</v>
      </c>
      <c r="E82" s="155">
        <v>545</v>
      </c>
      <c r="F82" s="156">
        <v>0</v>
      </c>
      <c r="G82" s="157">
        <v>0</v>
      </c>
      <c r="H82" s="157">
        <v>0</v>
      </c>
      <c r="I82" s="157">
        <v>1160</v>
      </c>
      <c r="J82" s="157"/>
      <c r="K82" s="158">
        <v>1160</v>
      </c>
    </row>
    <row r="83" spans="1:11" x14ac:dyDescent="0.25">
      <c r="A83" s="60">
        <v>245</v>
      </c>
      <c r="B83" s="60" t="s">
        <v>117</v>
      </c>
      <c r="C83" s="60">
        <v>1000</v>
      </c>
      <c r="D83" s="60">
        <v>0</v>
      </c>
      <c r="E83" s="155">
        <v>546</v>
      </c>
      <c r="F83" s="156">
        <v>0</v>
      </c>
      <c r="G83" s="157">
        <v>0</v>
      </c>
      <c r="H83" s="157">
        <v>0</v>
      </c>
      <c r="I83" s="157">
        <v>0</v>
      </c>
      <c r="J83" s="157"/>
      <c r="K83" s="158">
        <v>0</v>
      </c>
    </row>
    <row r="84" spans="1:11" x14ac:dyDescent="0.25">
      <c r="A84" s="60">
        <v>252</v>
      </c>
      <c r="B84" s="60" t="s">
        <v>117</v>
      </c>
      <c r="C84" s="60">
        <v>1000</v>
      </c>
      <c r="D84" s="60">
        <v>0</v>
      </c>
      <c r="E84" s="155">
        <v>547</v>
      </c>
      <c r="F84" s="156">
        <v>0</v>
      </c>
      <c r="G84" s="157">
        <v>0</v>
      </c>
      <c r="H84" s="157">
        <v>187617</v>
      </c>
      <c r="I84" s="157">
        <v>43860</v>
      </c>
      <c r="J84" s="157"/>
      <c r="K84" s="158">
        <v>231477</v>
      </c>
    </row>
    <row r="85" spans="1:11" x14ac:dyDescent="0.25">
      <c r="A85" s="60">
        <v>262</v>
      </c>
      <c r="B85" s="60" t="s">
        <v>117</v>
      </c>
      <c r="C85" s="60">
        <v>1000</v>
      </c>
      <c r="D85" s="60">
        <v>0</v>
      </c>
      <c r="E85" s="155">
        <v>550</v>
      </c>
      <c r="F85" s="156">
        <v>0</v>
      </c>
      <c r="G85" s="157">
        <v>0</v>
      </c>
      <c r="H85" s="157">
        <v>0</v>
      </c>
      <c r="I85" s="157">
        <v>0</v>
      </c>
      <c r="J85" s="157"/>
      <c r="K85" s="158">
        <v>0</v>
      </c>
    </row>
    <row r="86" spans="1:11" x14ac:dyDescent="0.25">
      <c r="A86" s="60">
        <v>262</v>
      </c>
      <c r="B86" s="60" t="s">
        <v>117</v>
      </c>
      <c r="C86" s="60">
        <v>1098</v>
      </c>
      <c r="D86" s="60">
        <v>0</v>
      </c>
      <c r="E86" s="155">
        <v>541</v>
      </c>
      <c r="F86" s="156">
        <v>0</v>
      </c>
      <c r="G86" s="157">
        <v>0</v>
      </c>
      <c r="H86" s="157">
        <v>0</v>
      </c>
      <c r="I86" s="157">
        <v>54180</v>
      </c>
      <c r="J86" s="157"/>
      <c r="K86" s="158">
        <v>54180</v>
      </c>
    </row>
    <row r="87" spans="1:11" x14ac:dyDescent="0.25">
      <c r="A87" s="60">
        <v>272</v>
      </c>
      <c r="B87" s="60" t="s">
        <v>117</v>
      </c>
      <c r="C87" s="60">
        <v>1000</v>
      </c>
      <c r="D87" s="60">
        <v>0</v>
      </c>
      <c r="E87" s="155">
        <v>548</v>
      </c>
      <c r="F87" s="156">
        <v>0</v>
      </c>
      <c r="G87" s="157">
        <v>0</v>
      </c>
      <c r="H87" s="157">
        <v>7030</v>
      </c>
      <c r="I87" s="157">
        <v>606</v>
      </c>
      <c r="J87" s="157"/>
      <c r="K87" s="158">
        <v>7636</v>
      </c>
    </row>
    <row r="88" spans="1:11" x14ac:dyDescent="0.25">
      <c r="A88" s="60">
        <v>272</v>
      </c>
      <c r="B88" s="60" t="s">
        <v>117</v>
      </c>
      <c r="C88" s="60">
        <v>1098</v>
      </c>
      <c r="D88" s="60">
        <v>0</v>
      </c>
      <c r="E88" s="155">
        <v>549</v>
      </c>
      <c r="F88" s="156">
        <v>0</v>
      </c>
      <c r="G88" s="157">
        <v>0</v>
      </c>
      <c r="H88" s="157"/>
      <c r="I88" s="157"/>
      <c r="J88" s="157"/>
      <c r="K88" s="158">
        <v>0</v>
      </c>
    </row>
    <row r="89" spans="1:11" x14ac:dyDescent="0.25">
      <c r="A89" s="60">
        <v>282</v>
      </c>
      <c r="B89" s="60" t="s">
        <v>117</v>
      </c>
      <c r="C89" s="60">
        <v>1000</v>
      </c>
      <c r="D89" s="60">
        <v>0</v>
      </c>
      <c r="E89" s="155">
        <v>293</v>
      </c>
      <c r="F89" s="156">
        <v>0</v>
      </c>
      <c r="G89" s="157">
        <v>63932</v>
      </c>
      <c r="H89" s="157">
        <v>0</v>
      </c>
      <c r="I89" s="157">
        <v>374502</v>
      </c>
      <c r="J89" s="157"/>
      <c r="K89" s="158">
        <v>438434</v>
      </c>
    </row>
    <row r="90" spans="1:11" x14ac:dyDescent="0.25">
      <c r="A90" s="60">
        <v>292</v>
      </c>
      <c r="B90" s="60" t="s">
        <v>117</v>
      </c>
      <c r="C90" s="60">
        <v>1000</v>
      </c>
      <c r="D90" s="60">
        <v>0</v>
      </c>
      <c r="E90" s="155">
        <v>295</v>
      </c>
      <c r="F90" s="156">
        <v>0</v>
      </c>
      <c r="G90" s="157">
        <v>15900</v>
      </c>
      <c r="H90" s="157">
        <v>0</v>
      </c>
      <c r="I90" s="157">
        <v>0</v>
      </c>
      <c r="J90" s="157"/>
      <c r="K90" s="158">
        <v>15900</v>
      </c>
    </row>
    <row r="91" spans="1:11" x14ac:dyDescent="0.25">
      <c r="A91" s="60">
        <v>293</v>
      </c>
      <c r="B91" s="60" t="s">
        <v>117</v>
      </c>
      <c r="C91" s="60">
        <v>1000</v>
      </c>
      <c r="D91" s="60">
        <v>0</v>
      </c>
      <c r="E91" s="155">
        <v>294</v>
      </c>
      <c r="F91" s="156">
        <v>0</v>
      </c>
      <c r="G91" s="157">
        <v>0</v>
      </c>
      <c r="H91" s="157">
        <v>0</v>
      </c>
      <c r="I91" s="157">
        <v>34780</v>
      </c>
      <c r="J91" s="157"/>
      <c r="K91" s="158">
        <v>34780</v>
      </c>
    </row>
    <row r="92" spans="1:11" x14ac:dyDescent="0.25">
      <c r="A92" s="60">
        <v>293</v>
      </c>
      <c r="B92" s="60" t="s">
        <v>117</v>
      </c>
      <c r="C92" s="60">
        <v>1098</v>
      </c>
      <c r="D92" s="60">
        <v>0</v>
      </c>
      <c r="E92" s="155">
        <v>968</v>
      </c>
      <c r="F92" s="156"/>
      <c r="G92" s="157"/>
      <c r="H92" s="157"/>
      <c r="I92" s="157">
        <v>0</v>
      </c>
      <c r="J92" s="157"/>
      <c r="K92" s="158">
        <v>0</v>
      </c>
    </row>
    <row r="93" spans="1:11" x14ac:dyDescent="0.25">
      <c r="A93" s="60">
        <v>294</v>
      </c>
      <c r="B93" s="60" t="s">
        <v>117</v>
      </c>
      <c r="C93" s="60">
        <v>1000</v>
      </c>
      <c r="D93" s="60">
        <v>0</v>
      </c>
      <c r="E93" s="155">
        <v>187</v>
      </c>
      <c r="F93" s="156">
        <v>0</v>
      </c>
      <c r="G93" s="157">
        <v>0</v>
      </c>
      <c r="H93" s="157">
        <v>0</v>
      </c>
      <c r="I93" s="157">
        <v>0</v>
      </c>
      <c r="J93" s="157"/>
      <c r="K93" s="158">
        <v>0</v>
      </c>
    </row>
    <row r="94" spans="1:11" x14ac:dyDescent="0.25">
      <c r="A94" s="60">
        <v>294</v>
      </c>
      <c r="B94" s="60" t="s">
        <v>117</v>
      </c>
      <c r="C94" s="60">
        <v>1080</v>
      </c>
      <c r="D94" s="60">
        <v>0</v>
      </c>
      <c r="E94" s="155">
        <v>966</v>
      </c>
      <c r="F94" s="156">
        <v>0</v>
      </c>
      <c r="G94" s="157"/>
      <c r="H94" s="157"/>
      <c r="I94" s="157"/>
      <c r="J94" s="157"/>
      <c r="K94" s="158">
        <v>0</v>
      </c>
    </row>
    <row r="95" spans="1:11" x14ac:dyDescent="0.25">
      <c r="A95" s="60">
        <v>295</v>
      </c>
      <c r="B95" s="60" t="s">
        <v>117</v>
      </c>
      <c r="C95" s="60">
        <v>1000</v>
      </c>
      <c r="D95" s="60">
        <v>0</v>
      </c>
      <c r="E95" s="155">
        <v>954</v>
      </c>
      <c r="F95" s="156"/>
      <c r="G95" s="157"/>
      <c r="H95" s="157">
        <v>0</v>
      </c>
      <c r="I95" s="157"/>
      <c r="J95" s="157"/>
      <c r="K95" s="158">
        <v>0</v>
      </c>
    </row>
    <row r="96" spans="1:11" x14ac:dyDescent="0.25">
      <c r="A96" s="60">
        <v>296</v>
      </c>
      <c r="B96" s="60" t="s">
        <v>117</v>
      </c>
      <c r="C96" s="60">
        <v>1000</v>
      </c>
      <c r="D96" s="60">
        <v>0</v>
      </c>
      <c r="E96" s="155">
        <v>296</v>
      </c>
      <c r="F96" s="156">
        <v>0</v>
      </c>
      <c r="G96" s="157"/>
      <c r="H96" s="157"/>
      <c r="I96" s="157">
        <v>0</v>
      </c>
      <c r="J96" s="157"/>
      <c r="K96" s="158">
        <v>0</v>
      </c>
    </row>
    <row r="97" spans="1:11" x14ac:dyDescent="0.25">
      <c r="A97" s="60">
        <v>301</v>
      </c>
      <c r="B97" s="60" t="s">
        <v>117</v>
      </c>
      <c r="C97" s="60">
        <v>1000</v>
      </c>
      <c r="D97" s="60">
        <v>0</v>
      </c>
      <c r="E97" s="155">
        <v>942</v>
      </c>
      <c r="F97" s="156">
        <v>0</v>
      </c>
      <c r="G97" s="157"/>
      <c r="H97" s="157"/>
      <c r="I97" s="157"/>
      <c r="J97" s="157"/>
      <c r="K97" s="158">
        <v>0</v>
      </c>
    </row>
    <row r="98" spans="1:11" x14ac:dyDescent="0.25">
      <c r="A98" s="60">
        <v>311</v>
      </c>
      <c r="B98" s="60" t="s">
        <v>117</v>
      </c>
      <c r="C98" s="60">
        <v>1000</v>
      </c>
      <c r="D98" s="60">
        <v>0</v>
      </c>
      <c r="E98" s="155">
        <v>560</v>
      </c>
      <c r="F98" s="156">
        <v>168000000</v>
      </c>
      <c r="G98" s="157">
        <v>1313826</v>
      </c>
      <c r="H98" s="157">
        <v>0</v>
      </c>
      <c r="I98" s="157">
        <v>96320000</v>
      </c>
      <c r="J98" s="157"/>
      <c r="K98" s="158">
        <v>265633826</v>
      </c>
    </row>
    <row r="99" spans="1:11" x14ac:dyDescent="0.25">
      <c r="A99" s="60">
        <v>311</v>
      </c>
      <c r="B99" s="60" t="s">
        <v>117</v>
      </c>
      <c r="C99" s="60">
        <v>1010</v>
      </c>
      <c r="D99" s="60">
        <v>0</v>
      </c>
      <c r="E99" s="155">
        <v>561</v>
      </c>
      <c r="F99" s="156"/>
      <c r="G99" s="157">
        <v>0</v>
      </c>
      <c r="H99" s="157"/>
      <c r="I99" s="157">
        <v>0</v>
      </c>
      <c r="J99" s="157"/>
      <c r="K99" s="158">
        <v>0</v>
      </c>
    </row>
    <row r="100" spans="1:11" x14ac:dyDescent="0.25">
      <c r="A100" s="60">
        <v>311</v>
      </c>
      <c r="B100" s="60" t="s">
        <v>117</v>
      </c>
      <c r="C100" s="60">
        <v>1098</v>
      </c>
      <c r="D100" s="60">
        <v>0</v>
      </c>
      <c r="E100" s="155">
        <v>997</v>
      </c>
      <c r="F100" s="156"/>
      <c r="G100" s="157"/>
      <c r="H100" s="157">
        <v>0</v>
      </c>
      <c r="I100" s="157"/>
      <c r="J100" s="157"/>
      <c r="K100" s="158">
        <v>0</v>
      </c>
    </row>
    <row r="101" spans="1:11" x14ac:dyDescent="0.25">
      <c r="A101" s="60">
        <v>331</v>
      </c>
      <c r="B101" s="60" t="s">
        <v>117</v>
      </c>
      <c r="C101" s="60">
        <v>1000</v>
      </c>
      <c r="D101" s="60">
        <v>0</v>
      </c>
      <c r="E101" s="155">
        <v>434</v>
      </c>
      <c r="F101" s="156"/>
      <c r="G101" s="157">
        <v>0</v>
      </c>
      <c r="H101" s="157"/>
      <c r="I101" s="157">
        <v>0</v>
      </c>
      <c r="J101" s="157"/>
      <c r="K101" s="158">
        <v>0</v>
      </c>
    </row>
    <row r="102" spans="1:11" x14ac:dyDescent="0.25">
      <c r="A102" s="60">
        <v>331</v>
      </c>
      <c r="B102" s="60" t="s">
        <v>117</v>
      </c>
      <c r="C102" s="60">
        <v>1098</v>
      </c>
      <c r="D102" s="60">
        <v>0</v>
      </c>
      <c r="E102" s="155">
        <v>952</v>
      </c>
      <c r="F102" s="156"/>
      <c r="G102" s="157"/>
      <c r="H102" s="157"/>
      <c r="I102" s="157">
        <v>0</v>
      </c>
      <c r="J102" s="157"/>
      <c r="K102" s="158">
        <v>0</v>
      </c>
    </row>
    <row r="103" spans="1:11" x14ac:dyDescent="0.25">
      <c r="A103" s="60">
        <v>341</v>
      </c>
      <c r="B103" s="60" t="s">
        <v>117</v>
      </c>
      <c r="C103" s="60">
        <v>1000</v>
      </c>
      <c r="D103" s="60">
        <v>0</v>
      </c>
      <c r="E103" s="155">
        <v>923</v>
      </c>
      <c r="F103" s="156"/>
      <c r="G103" s="157"/>
      <c r="H103" s="157"/>
      <c r="I103" s="157">
        <v>0</v>
      </c>
      <c r="J103" s="157"/>
      <c r="K103" s="158">
        <v>0</v>
      </c>
    </row>
    <row r="104" spans="1:11" x14ac:dyDescent="0.25">
      <c r="A104" s="60">
        <v>351</v>
      </c>
      <c r="B104" s="60" t="s">
        <v>117</v>
      </c>
      <c r="C104" s="60">
        <v>1000</v>
      </c>
      <c r="D104" s="60">
        <v>0</v>
      </c>
      <c r="E104" s="155">
        <v>565</v>
      </c>
      <c r="F104" s="156"/>
      <c r="G104" s="157">
        <v>0</v>
      </c>
      <c r="H104" s="157"/>
      <c r="I104" s="157"/>
      <c r="J104" s="157"/>
      <c r="K104" s="158">
        <v>0</v>
      </c>
    </row>
    <row r="105" spans="1:11" x14ac:dyDescent="0.25">
      <c r="A105" s="60">
        <v>351</v>
      </c>
      <c r="B105" s="60" t="s">
        <v>117</v>
      </c>
      <c r="C105" s="60">
        <v>1010</v>
      </c>
      <c r="D105" s="60">
        <v>0</v>
      </c>
      <c r="E105" s="155">
        <v>291</v>
      </c>
      <c r="F105" s="156"/>
      <c r="G105" s="157"/>
      <c r="H105" s="157"/>
      <c r="I105" s="157">
        <v>0</v>
      </c>
      <c r="J105" s="157"/>
      <c r="K105" s="158">
        <v>0</v>
      </c>
    </row>
    <row r="106" spans="1:11" x14ac:dyDescent="0.25">
      <c r="A106" s="60">
        <v>351</v>
      </c>
      <c r="B106" s="60" t="s">
        <v>117</v>
      </c>
      <c r="C106" s="60">
        <v>1098</v>
      </c>
      <c r="D106" s="60">
        <v>0</v>
      </c>
      <c r="E106" s="155">
        <v>989</v>
      </c>
      <c r="F106" s="156"/>
      <c r="G106" s="157"/>
      <c r="H106" s="157"/>
      <c r="I106" s="157">
        <v>0</v>
      </c>
      <c r="J106" s="157"/>
      <c r="K106" s="158">
        <v>0</v>
      </c>
    </row>
    <row r="107" spans="1:11" x14ac:dyDescent="0.25">
      <c r="A107" s="60">
        <v>361</v>
      </c>
      <c r="B107" s="60" t="s">
        <v>117</v>
      </c>
      <c r="C107" s="60">
        <v>1000</v>
      </c>
      <c r="D107" s="60">
        <v>10308</v>
      </c>
      <c r="E107" s="155">
        <v>188</v>
      </c>
      <c r="F107" s="156">
        <v>0</v>
      </c>
      <c r="G107" s="157"/>
      <c r="H107" s="157"/>
      <c r="I107" s="157"/>
      <c r="J107" s="157"/>
      <c r="K107" s="158">
        <v>0</v>
      </c>
    </row>
    <row r="108" spans="1:11" x14ac:dyDescent="0.25">
      <c r="A108" s="60">
        <v>361</v>
      </c>
      <c r="B108" s="60" t="s">
        <v>117</v>
      </c>
      <c r="C108" s="60">
        <v>1098</v>
      </c>
      <c r="D108" s="60">
        <v>0</v>
      </c>
      <c r="E108" s="155">
        <v>959</v>
      </c>
      <c r="F108" s="156"/>
      <c r="G108" s="157"/>
      <c r="H108" s="157"/>
      <c r="I108" s="157">
        <v>0</v>
      </c>
      <c r="J108" s="157"/>
      <c r="K108" s="158">
        <v>0</v>
      </c>
    </row>
    <row r="109" spans="1:11" x14ac:dyDescent="0.25">
      <c r="A109" s="60">
        <v>432</v>
      </c>
      <c r="B109" s="60" t="s">
        <v>117</v>
      </c>
      <c r="C109" s="60">
        <v>1000</v>
      </c>
      <c r="D109" s="60">
        <v>0</v>
      </c>
      <c r="E109" s="159" t="s">
        <v>122</v>
      </c>
      <c r="F109" s="160">
        <v>338424330</v>
      </c>
      <c r="G109" s="161">
        <v>85154745</v>
      </c>
      <c r="H109" s="161">
        <v>64304432</v>
      </c>
      <c r="I109" s="161">
        <v>251886264</v>
      </c>
      <c r="J109" s="161">
        <v>99138</v>
      </c>
      <c r="K109" s="162">
        <v>739868909</v>
      </c>
    </row>
    <row r="110" spans="1:11" x14ac:dyDescent="0.25">
      <c r="A110" s="60">
        <v>433</v>
      </c>
      <c r="B110" s="60" t="s">
        <v>117</v>
      </c>
      <c r="C110" s="60">
        <v>1000</v>
      </c>
      <c r="D110" s="60">
        <v>0</v>
      </c>
    </row>
    <row r="111" spans="1:11" x14ac:dyDescent="0.25">
      <c r="A111" s="60">
        <v>433</v>
      </c>
      <c r="B111" s="60" t="s">
        <v>117</v>
      </c>
      <c r="C111" s="60">
        <v>1098</v>
      </c>
      <c r="D111" s="60">
        <v>0</v>
      </c>
    </row>
    <row r="112" spans="1:11" x14ac:dyDescent="0.25">
      <c r="A112" s="60">
        <v>442</v>
      </c>
      <c r="B112" s="60" t="s">
        <v>117</v>
      </c>
      <c r="C112" s="60">
        <v>1000</v>
      </c>
      <c r="D112" s="60">
        <v>0</v>
      </c>
    </row>
    <row r="113" spans="1:4" x14ac:dyDescent="0.25">
      <c r="A113" s="60">
        <v>443</v>
      </c>
      <c r="B113" s="60" t="s">
        <v>117</v>
      </c>
      <c r="C113" s="60">
        <v>1000</v>
      </c>
      <c r="D113" s="60">
        <v>0</v>
      </c>
    </row>
    <row r="114" spans="1:4" x14ac:dyDescent="0.25">
      <c r="A114" s="60">
        <v>443</v>
      </c>
      <c r="B114" s="60" t="s">
        <v>117</v>
      </c>
      <c r="C114" s="60">
        <v>1098</v>
      </c>
      <c r="D114" s="60">
        <v>0</v>
      </c>
    </row>
    <row r="115" spans="1:4" x14ac:dyDescent="0.25">
      <c r="A115" s="60">
        <v>445</v>
      </c>
      <c r="B115" s="60" t="s">
        <v>117</v>
      </c>
      <c r="C115" s="60">
        <v>1000</v>
      </c>
      <c r="D115" s="60">
        <v>0</v>
      </c>
    </row>
    <row r="116" spans="1:4" x14ac:dyDescent="0.25">
      <c r="A116" s="60">
        <v>447</v>
      </c>
      <c r="B116" s="60" t="s">
        <v>117</v>
      </c>
      <c r="C116" s="60">
        <v>1000</v>
      </c>
      <c r="D116" s="60">
        <v>0</v>
      </c>
    </row>
    <row r="117" spans="1:4" x14ac:dyDescent="0.25">
      <c r="A117" s="60">
        <v>510</v>
      </c>
      <c r="B117" s="60" t="s">
        <v>117</v>
      </c>
      <c r="C117" s="60">
        <v>1000</v>
      </c>
      <c r="D117" s="60">
        <v>1802320</v>
      </c>
    </row>
    <row r="118" spans="1:4" x14ac:dyDescent="0.25">
      <c r="A118" s="60">
        <v>510</v>
      </c>
      <c r="B118" s="60" t="s">
        <v>117</v>
      </c>
      <c r="C118" s="60">
        <v>1098</v>
      </c>
      <c r="D118" s="60">
        <v>0</v>
      </c>
    </row>
    <row r="119" spans="1:4" x14ac:dyDescent="0.25">
      <c r="A119" s="60">
        <v>520</v>
      </c>
      <c r="B119" s="60" t="s">
        <v>117</v>
      </c>
      <c r="C119" s="60">
        <v>1000</v>
      </c>
      <c r="D119" s="60">
        <v>0</v>
      </c>
    </row>
    <row r="120" spans="1:4" x14ac:dyDescent="0.25">
      <c r="A120" s="60">
        <v>530</v>
      </c>
      <c r="B120" s="60" t="s">
        <v>117</v>
      </c>
      <c r="C120" s="60">
        <v>1000</v>
      </c>
      <c r="D120" s="60">
        <v>0</v>
      </c>
    </row>
    <row r="121" spans="1:4" x14ac:dyDescent="0.25">
      <c r="A121" s="60">
        <v>540</v>
      </c>
      <c r="B121" s="60" t="s">
        <v>117</v>
      </c>
      <c r="C121" s="60">
        <v>1000</v>
      </c>
      <c r="D121" s="60">
        <v>0</v>
      </c>
    </row>
    <row r="122" spans="1:4" x14ac:dyDescent="0.25">
      <c r="A122" s="60">
        <v>540</v>
      </c>
      <c r="B122" s="60" t="s">
        <v>117</v>
      </c>
      <c r="C122" s="60">
        <v>1098</v>
      </c>
      <c r="D122" s="60">
        <v>0</v>
      </c>
    </row>
    <row r="123" spans="1:4" x14ac:dyDescent="0.25">
      <c r="A123" s="60">
        <v>541</v>
      </c>
      <c r="B123" s="60" t="s">
        <v>117</v>
      </c>
      <c r="C123" s="60">
        <v>1000</v>
      </c>
      <c r="D123" s="60">
        <v>0</v>
      </c>
    </row>
    <row r="124" spans="1:4" x14ac:dyDescent="0.25">
      <c r="A124" s="60">
        <v>542</v>
      </c>
      <c r="B124" s="60" t="s">
        <v>117</v>
      </c>
      <c r="C124" s="60">
        <v>1000</v>
      </c>
      <c r="D124" s="60">
        <v>0</v>
      </c>
    </row>
    <row r="125" spans="1:4" x14ac:dyDescent="0.25">
      <c r="A125" s="60">
        <v>543</v>
      </c>
      <c r="B125" s="60" t="s">
        <v>117</v>
      </c>
      <c r="C125" s="60">
        <v>1000</v>
      </c>
      <c r="D125" s="60">
        <v>1175473</v>
      </c>
    </row>
    <row r="126" spans="1:4" x14ac:dyDescent="0.25">
      <c r="A126" s="60">
        <v>544</v>
      </c>
      <c r="B126" s="60" t="s">
        <v>117</v>
      </c>
      <c r="C126" s="60">
        <v>1000</v>
      </c>
      <c r="D126" s="60">
        <v>7692</v>
      </c>
    </row>
    <row r="127" spans="1:4" x14ac:dyDescent="0.25">
      <c r="A127" s="60">
        <v>545</v>
      </c>
      <c r="B127" s="60" t="s">
        <v>117</v>
      </c>
      <c r="C127" s="60">
        <v>1000</v>
      </c>
      <c r="D127" s="60">
        <v>0</v>
      </c>
    </row>
    <row r="128" spans="1:4" x14ac:dyDescent="0.25">
      <c r="A128" s="60">
        <v>546</v>
      </c>
      <c r="B128" s="60" t="s">
        <v>117</v>
      </c>
      <c r="C128" s="60">
        <v>1000</v>
      </c>
      <c r="D128" s="60">
        <v>0</v>
      </c>
    </row>
    <row r="129" spans="1:4" x14ac:dyDescent="0.25">
      <c r="A129" s="60">
        <v>547</v>
      </c>
      <c r="B129" s="60" t="s">
        <v>117</v>
      </c>
      <c r="C129" s="60">
        <v>1000</v>
      </c>
      <c r="D129" s="60">
        <v>0</v>
      </c>
    </row>
    <row r="130" spans="1:4" x14ac:dyDescent="0.25">
      <c r="A130" s="60">
        <v>548</v>
      </c>
      <c r="B130" s="60" t="s">
        <v>117</v>
      </c>
      <c r="C130" s="60">
        <v>1000</v>
      </c>
      <c r="D130" s="60">
        <v>0</v>
      </c>
    </row>
    <row r="131" spans="1:4" x14ac:dyDescent="0.25">
      <c r="A131" s="60">
        <v>549</v>
      </c>
      <c r="B131" s="60" t="s">
        <v>117</v>
      </c>
      <c r="C131" s="60">
        <v>1000</v>
      </c>
      <c r="D131" s="60">
        <v>0</v>
      </c>
    </row>
    <row r="132" spans="1:4" x14ac:dyDescent="0.25">
      <c r="A132" s="60">
        <v>550</v>
      </c>
      <c r="B132" s="60" t="s">
        <v>117</v>
      </c>
      <c r="C132" s="60">
        <v>1000</v>
      </c>
      <c r="D132" s="60">
        <v>0</v>
      </c>
    </row>
    <row r="133" spans="1:4" x14ac:dyDescent="0.25">
      <c r="A133" s="60">
        <v>551</v>
      </c>
      <c r="B133" s="60" t="s">
        <v>117</v>
      </c>
      <c r="C133" s="60">
        <v>1000</v>
      </c>
      <c r="D133" s="60">
        <v>0</v>
      </c>
    </row>
    <row r="134" spans="1:4" x14ac:dyDescent="0.25">
      <c r="A134" s="60">
        <v>560</v>
      </c>
      <c r="B134" s="60" t="s">
        <v>117</v>
      </c>
      <c r="C134" s="60">
        <v>1000</v>
      </c>
      <c r="D134" s="60">
        <v>0</v>
      </c>
    </row>
    <row r="135" spans="1:4" x14ac:dyDescent="0.25">
      <c r="A135" s="60">
        <v>560</v>
      </c>
      <c r="B135" s="60" t="s">
        <v>117</v>
      </c>
      <c r="C135" s="60">
        <v>1080</v>
      </c>
      <c r="D135" s="60">
        <v>168000000</v>
      </c>
    </row>
    <row r="136" spans="1:4" x14ac:dyDescent="0.25">
      <c r="A136" s="60">
        <v>571</v>
      </c>
      <c r="B136" s="60" t="s">
        <v>117</v>
      </c>
      <c r="C136" s="60">
        <v>1000</v>
      </c>
      <c r="D136" s="60">
        <v>0</v>
      </c>
    </row>
    <row r="137" spans="1:4" x14ac:dyDescent="0.25">
      <c r="A137" s="60">
        <v>601</v>
      </c>
      <c r="B137" s="60" t="s">
        <v>117</v>
      </c>
      <c r="C137" s="60">
        <v>1000</v>
      </c>
      <c r="D137" s="60">
        <v>0</v>
      </c>
    </row>
    <row r="138" spans="1:4" x14ac:dyDescent="0.25">
      <c r="A138" s="60">
        <v>601</v>
      </c>
      <c r="B138" s="60" t="s">
        <v>117</v>
      </c>
      <c r="C138" s="60">
        <v>1010</v>
      </c>
      <c r="D138" s="60">
        <v>0</v>
      </c>
    </row>
    <row r="139" spans="1:4" x14ac:dyDescent="0.25">
      <c r="A139" s="60">
        <v>602</v>
      </c>
      <c r="B139" s="60" t="s">
        <v>117</v>
      </c>
      <c r="C139" s="60">
        <v>1000</v>
      </c>
      <c r="D139" s="60">
        <v>0</v>
      </c>
    </row>
    <row r="140" spans="1:4" x14ac:dyDescent="0.25">
      <c r="A140" s="60">
        <v>603</v>
      </c>
      <c r="B140" s="60" t="s">
        <v>117</v>
      </c>
      <c r="C140" s="60">
        <v>1000</v>
      </c>
      <c r="D140" s="60">
        <v>0</v>
      </c>
    </row>
    <row r="141" spans="1:4" x14ac:dyDescent="0.25">
      <c r="A141" s="60">
        <v>605</v>
      </c>
      <c r="B141" s="60" t="s">
        <v>117</v>
      </c>
      <c r="C141" s="60">
        <v>1000</v>
      </c>
      <c r="D141" s="60">
        <v>0</v>
      </c>
    </row>
    <row r="142" spans="1:4" x14ac:dyDescent="0.25">
      <c r="A142" s="60">
        <v>936</v>
      </c>
      <c r="B142" s="60" t="s">
        <v>117</v>
      </c>
      <c r="C142" s="60">
        <v>1000</v>
      </c>
      <c r="D142" s="60">
        <v>0</v>
      </c>
    </row>
    <row r="143" spans="1:4" x14ac:dyDescent="0.25">
      <c r="A143" s="60">
        <v>938</v>
      </c>
      <c r="B143" s="60" t="s">
        <v>117</v>
      </c>
      <c r="C143" s="60">
        <v>1000</v>
      </c>
      <c r="D143" s="60">
        <v>0</v>
      </c>
    </row>
    <row r="144" spans="1:4" x14ac:dyDescent="0.25">
      <c r="A144" s="60">
        <v>939</v>
      </c>
      <c r="B144" s="60" t="s">
        <v>117</v>
      </c>
      <c r="C144" s="60">
        <v>1000</v>
      </c>
      <c r="D144" s="60">
        <v>0</v>
      </c>
    </row>
    <row r="145" spans="1:4" x14ac:dyDescent="0.25">
      <c r="A145" s="60">
        <v>942</v>
      </c>
      <c r="B145" s="60" t="s">
        <v>117</v>
      </c>
      <c r="C145" s="60">
        <v>1000</v>
      </c>
      <c r="D145" s="60">
        <v>0</v>
      </c>
    </row>
    <row r="146" spans="1:4" x14ac:dyDescent="0.25">
      <c r="A146" s="60">
        <v>958</v>
      </c>
      <c r="B146" s="60" t="s">
        <v>117</v>
      </c>
      <c r="C146" s="60">
        <v>1000</v>
      </c>
      <c r="D146" s="60">
        <v>0</v>
      </c>
    </row>
    <row r="147" spans="1:4" x14ac:dyDescent="0.25">
      <c r="A147" s="60">
        <v>960</v>
      </c>
      <c r="B147" s="60" t="s">
        <v>117</v>
      </c>
      <c r="C147" s="60">
        <v>1000</v>
      </c>
      <c r="D147" s="60">
        <v>0</v>
      </c>
    </row>
    <row r="148" spans="1:4" x14ac:dyDescent="0.25">
      <c r="A148" s="60">
        <v>961</v>
      </c>
      <c r="B148" s="60" t="s">
        <v>117</v>
      </c>
      <c r="C148" s="60">
        <v>1000</v>
      </c>
      <c r="D148" s="60">
        <v>0</v>
      </c>
    </row>
    <row r="149" spans="1:4" x14ac:dyDescent="0.25">
      <c r="A149" s="60">
        <v>964</v>
      </c>
      <c r="B149" s="60" t="s">
        <v>117</v>
      </c>
      <c r="C149" s="60">
        <v>1000</v>
      </c>
      <c r="D149" s="60">
        <v>0</v>
      </c>
    </row>
    <row r="150" spans="1:4" x14ac:dyDescent="0.25">
      <c r="A150" s="60">
        <v>966</v>
      </c>
      <c r="B150" s="60" t="s">
        <v>117</v>
      </c>
      <c r="C150" s="60">
        <v>1000</v>
      </c>
      <c r="D150" s="60">
        <v>0</v>
      </c>
    </row>
    <row r="151" spans="1:4" x14ac:dyDescent="0.25">
      <c r="A151" s="60">
        <v>967</v>
      </c>
      <c r="B151" s="60" t="s">
        <v>117</v>
      </c>
      <c r="C151" s="60">
        <v>1000</v>
      </c>
      <c r="D151" s="60">
        <v>0</v>
      </c>
    </row>
    <row r="152" spans="1:4" x14ac:dyDescent="0.25">
      <c r="A152" s="60">
        <v>1</v>
      </c>
      <c r="B152" s="60" t="s">
        <v>118</v>
      </c>
      <c r="C152" s="60">
        <v>1000</v>
      </c>
      <c r="D152" s="60">
        <v>5040000</v>
      </c>
    </row>
    <row r="153" spans="1:4" x14ac:dyDescent="0.25">
      <c r="A153" s="60">
        <v>1</v>
      </c>
      <c r="B153" s="60" t="s">
        <v>118</v>
      </c>
      <c r="C153" s="60">
        <v>1080</v>
      </c>
      <c r="D153" s="60">
        <v>78400000</v>
      </c>
    </row>
    <row r="154" spans="1:4" x14ac:dyDescent="0.25">
      <c r="A154" s="60">
        <v>1</v>
      </c>
      <c r="B154" s="60" t="s">
        <v>118</v>
      </c>
      <c r="C154" s="60">
        <v>1098</v>
      </c>
      <c r="D154" s="60">
        <v>0</v>
      </c>
    </row>
    <row r="155" spans="1:4" x14ac:dyDescent="0.25">
      <c r="A155" s="60">
        <v>10</v>
      </c>
      <c r="B155" s="60" t="s">
        <v>118</v>
      </c>
      <c r="C155" s="60">
        <v>1000</v>
      </c>
      <c r="D155" s="60">
        <v>0</v>
      </c>
    </row>
    <row r="156" spans="1:4" x14ac:dyDescent="0.25">
      <c r="A156" s="60">
        <v>11</v>
      </c>
      <c r="B156" s="60" t="s">
        <v>118</v>
      </c>
      <c r="C156" s="60">
        <v>1000</v>
      </c>
      <c r="D156" s="60">
        <v>0</v>
      </c>
    </row>
    <row r="157" spans="1:4" x14ac:dyDescent="0.25">
      <c r="A157" s="60">
        <v>11</v>
      </c>
      <c r="B157" s="60" t="s">
        <v>118</v>
      </c>
      <c r="C157" s="60">
        <v>1098</v>
      </c>
      <c r="D157" s="60">
        <v>0</v>
      </c>
    </row>
    <row r="158" spans="1:4" x14ac:dyDescent="0.25">
      <c r="A158" s="60">
        <v>21</v>
      </c>
      <c r="B158" s="60" t="s">
        <v>118</v>
      </c>
      <c r="C158" s="60">
        <v>1000</v>
      </c>
      <c r="D158" s="60">
        <v>0</v>
      </c>
    </row>
    <row r="159" spans="1:4" x14ac:dyDescent="0.25">
      <c r="A159" s="60">
        <v>21</v>
      </c>
      <c r="B159" s="60" t="s">
        <v>118</v>
      </c>
      <c r="C159" s="60">
        <v>1098</v>
      </c>
      <c r="D159" s="60">
        <v>0</v>
      </c>
    </row>
    <row r="160" spans="1:4" x14ac:dyDescent="0.25">
      <c r="A160" s="60">
        <v>31</v>
      </c>
      <c r="B160" s="60" t="s">
        <v>118</v>
      </c>
      <c r="C160" s="60">
        <v>1000</v>
      </c>
      <c r="D160" s="60">
        <v>0</v>
      </c>
    </row>
    <row r="161" spans="1:4" x14ac:dyDescent="0.25">
      <c r="A161" s="60">
        <v>31</v>
      </c>
      <c r="B161" s="60" t="s">
        <v>118</v>
      </c>
      <c r="C161" s="60">
        <v>1098</v>
      </c>
      <c r="D161" s="60">
        <v>0</v>
      </c>
    </row>
    <row r="162" spans="1:4" x14ac:dyDescent="0.25">
      <c r="A162" s="60">
        <v>61</v>
      </c>
      <c r="B162" s="60" t="s">
        <v>118</v>
      </c>
      <c r="C162" s="60">
        <v>1000</v>
      </c>
      <c r="D162" s="60">
        <v>0</v>
      </c>
    </row>
    <row r="163" spans="1:4" x14ac:dyDescent="0.25">
      <c r="A163" s="60">
        <v>61</v>
      </c>
      <c r="B163" s="60" t="s">
        <v>118</v>
      </c>
      <c r="C163" s="60">
        <v>1098</v>
      </c>
      <c r="D163" s="60">
        <v>0</v>
      </c>
    </row>
    <row r="164" spans="1:4" x14ac:dyDescent="0.25">
      <c r="A164" s="60">
        <v>71</v>
      </c>
      <c r="B164" s="60" t="s">
        <v>118</v>
      </c>
      <c r="C164" s="60">
        <v>1000</v>
      </c>
      <c r="D164" s="60">
        <v>0</v>
      </c>
    </row>
    <row r="165" spans="1:4" x14ac:dyDescent="0.25">
      <c r="A165" s="60">
        <v>71</v>
      </c>
      <c r="B165" s="60" t="s">
        <v>118</v>
      </c>
      <c r="C165" s="60">
        <v>1098</v>
      </c>
      <c r="D165" s="60">
        <v>0</v>
      </c>
    </row>
    <row r="166" spans="1:4" x14ac:dyDescent="0.25">
      <c r="A166" s="60">
        <v>81</v>
      </c>
      <c r="B166" s="60" t="s">
        <v>118</v>
      </c>
      <c r="C166" s="60">
        <v>1000</v>
      </c>
      <c r="D166" s="60">
        <v>0</v>
      </c>
    </row>
    <row r="167" spans="1:4" x14ac:dyDescent="0.25">
      <c r="A167" s="60">
        <v>81</v>
      </c>
      <c r="B167" s="60" t="s">
        <v>118</v>
      </c>
      <c r="C167" s="60">
        <v>1098</v>
      </c>
      <c r="D167" s="60">
        <v>0</v>
      </c>
    </row>
    <row r="168" spans="1:4" x14ac:dyDescent="0.25">
      <c r="A168" s="60">
        <v>91</v>
      </c>
      <c r="B168" s="60" t="s">
        <v>118</v>
      </c>
      <c r="C168" s="60">
        <v>1000</v>
      </c>
      <c r="D168" s="60">
        <v>0</v>
      </c>
    </row>
    <row r="169" spans="1:4" x14ac:dyDescent="0.25">
      <c r="A169" s="60">
        <v>91</v>
      </c>
      <c r="B169" s="60" t="s">
        <v>118</v>
      </c>
      <c r="C169" s="60">
        <v>1098</v>
      </c>
      <c r="D169" s="60">
        <v>0</v>
      </c>
    </row>
    <row r="170" spans="1:4" x14ac:dyDescent="0.25">
      <c r="A170" s="60">
        <v>101</v>
      </c>
      <c r="B170" s="60" t="s">
        <v>118</v>
      </c>
      <c r="C170" s="60">
        <v>1000</v>
      </c>
      <c r="D170" s="60">
        <v>0</v>
      </c>
    </row>
    <row r="171" spans="1:4" x14ac:dyDescent="0.25">
      <c r="A171" s="60">
        <v>101</v>
      </c>
      <c r="B171" s="60" t="s">
        <v>118</v>
      </c>
      <c r="C171" s="60">
        <v>1098</v>
      </c>
      <c r="D171" s="60">
        <v>0</v>
      </c>
    </row>
    <row r="172" spans="1:4" x14ac:dyDescent="0.25">
      <c r="A172" s="60">
        <v>111</v>
      </c>
      <c r="B172" s="60" t="s">
        <v>118</v>
      </c>
      <c r="C172" s="60">
        <v>1000</v>
      </c>
      <c r="D172" s="60">
        <v>0</v>
      </c>
    </row>
    <row r="173" spans="1:4" x14ac:dyDescent="0.25">
      <c r="A173" s="60">
        <v>111</v>
      </c>
      <c r="B173" s="60" t="s">
        <v>118</v>
      </c>
      <c r="C173" s="60">
        <v>1080</v>
      </c>
      <c r="D173" s="60">
        <v>0</v>
      </c>
    </row>
    <row r="174" spans="1:4" x14ac:dyDescent="0.25">
      <c r="A174" s="60">
        <v>111</v>
      </c>
      <c r="B174" s="60" t="s">
        <v>118</v>
      </c>
      <c r="C174" s="60">
        <v>1098</v>
      </c>
      <c r="D174" s="60">
        <v>0</v>
      </c>
    </row>
    <row r="175" spans="1:4" x14ac:dyDescent="0.25">
      <c r="A175" s="60">
        <v>121</v>
      </c>
      <c r="B175" s="60" t="s">
        <v>118</v>
      </c>
      <c r="C175" s="60">
        <v>1000</v>
      </c>
      <c r="D175" s="60">
        <v>0</v>
      </c>
    </row>
    <row r="176" spans="1:4" x14ac:dyDescent="0.25">
      <c r="A176" s="60">
        <v>121</v>
      </c>
      <c r="B176" s="60" t="s">
        <v>118</v>
      </c>
      <c r="C176" s="60">
        <v>1098</v>
      </c>
      <c r="D176" s="60">
        <v>0</v>
      </c>
    </row>
    <row r="177" spans="1:4" x14ac:dyDescent="0.25">
      <c r="A177" s="60">
        <v>151</v>
      </c>
      <c r="B177" s="60" t="s">
        <v>118</v>
      </c>
      <c r="C177" s="60">
        <v>1000</v>
      </c>
      <c r="D177" s="60">
        <v>0</v>
      </c>
    </row>
    <row r="178" spans="1:4" x14ac:dyDescent="0.25">
      <c r="A178" s="60">
        <v>151</v>
      </c>
      <c r="B178" s="60" t="s">
        <v>118</v>
      </c>
      <c r="C178" s="60">
        <v>1098</v>
      </c>
      <c r="D178" s="60">
        <v>0</v>
      </c>
    </row>
    <row r="179" spans="1:4" x14ac:dyDescent="0.25">
      <c r="A179" s="60">
        <v>161</v>
      </c>
      <c r="B179" s="60" t="s">
        <v>118</v>
      </c>
      <c r="C179" s="60">
        <v>1000</v>
      </c>
      <c r="D179" s="60">
        <v>0</v>
      </c>
    </row>
    <row r="180" spans="1:4" x14ac:dyDescent="0.25">
      <c r="A180" s="60">
        <v>161</v>
      </c>
      <c r="B180" s="60" t="s">
        <v>118</v>
      </c>
      <c r="C180" s="60">
        <v>1098</v>
      </c>
      <c r="D180" s="60">
        <v>0</v>
      </c>
    </row>
    <row r="181" spans="1:4" x14ac:dyDescent="0.25">
      <c r="A181" s="60">
        <v>171</v>
      </c>
      <c r="B181" s="60" t="s">
        <v>118</v>
      </c>
      <c r="C181" s="60">
        <v>1000</v>
      </c>
      <c r="D181" s="60">
        <v>0</v>
      </c>
    </row>
    <row r="182" spans="1:4" x14ac:dyDescent="0.25">
      <c r="A182" s="60">
        <v>171</v>
      </c>
      <c r="B182" s="60" t="s">
        <v>118</v>
      </c>
      <c r="C182" s="60">
        <v>1098</v>
      </c>
      <c r="D182" s="60">
        <v>0</v>
      </c>
    </row>
    <row r="183" spans="1:4" x14ac:dyDescent="0.25">
      <c r="A183" s="60">
        <v>181</v>
      </c>
      <c r="B183" s="60" t="s">
        <v>118</v>
      </c>
      <c r="C183" s="60">
        <v>1000</v>
      </c>
      <c r="D183" s="60">
        <v>0</v>
      </c>
    </row>
    <row r="184" spans="1:4" x14ac:dyDescent="0.25">
      <c r="A184" s="60">
        <v>182</v>
      </c>
      <c r="B184" s="60" t="s">
        <v>118</v>
      </c>
      <c r="C184" s="60">
        <v>1000</v>
      </c>
      <c r="D184" s="60">
        <v>0</v>
      </c>
    </row>
    <row r="185" spans="1:4" x14ac:dyDescent="0.25">
      <c r="A185" s="60">
        <v>183</v>
      </c>
      <c r="B185" s="60" t="s">
        <v>118</v>
      </c>
      <c r="C185" s="60">
        <v>1000</v>
      </c>
      <c r="D185" s="60">
        <v>0</v>
      </c>
    </row>
    <row r="186" spans="1:4" x14ac:dyDescent="0.25">
      <c r="A186" s="60">
        <v>183</v>
      </c>
      <c r="B186" s="60" t="s">
        <v>118</v>
      </c>
      <c r="C186" s="60">
        <v>1098</v>
      </c>
      <c r="D186" s="60">
        <v>0</v>
      </c>
    </row>
    <row r="187" spans="1:4" x14ac:dyDescent="0.25">
      <c r="A187" s="60">
        <v>185</v>
      </c>
      <c r="B187" s="60" t="s">
        <v>118</v>
      </c>
      <c r="C187" s="60">
        <v>1000</v>
      </c>
      <c r="D187" s="60">
        <v>0</v>
      </c>
    </row>
    <row r="188" spans="1:4" x14ac:dyDescent="0.25">
      <c r="A188" s="60">
        <v>187</v>
      </c>
      <c r="B188" s="60" t="s">
        <v>118</v>
      </c>
      <c r="C188" s="60">
        <v>1000</v>
      </c>
      <c r="D188" s="60">
        <v>0</v>
      </c>
    </row>
    <row r="189" spans="1:4" x14ac:dyDescent="0.25">
      <c r="A189" s="60">
        <v>191</v>
      </c>
      <c r="B189" s="60" t="s">
        <v>118</v>
      </c>
      <c r="C189" s="60">
        <v>1000</v>
      </c>
      <c r="D189" s="60">
        <v>0</v>
      </c>
    </row>
    <row r="190" spans="1:4" x14ac:dyDescent="0.25">
      <c r="A190" s="60">
        <v>191</v>
      </c>
      <c r="B190" s="60" t="s">
        <v>118</v>
      </c>
      <c r="C190" s="60">
        <v>1098</v>
      </c>
      <c r="D190" s="60">
        <v>0</v>
      </c>
    </row>
    <row r="191" spans="1:4" x14ac:dyDescent="0.25">
      <c r="A191" s="60">
        <v>192</v>
      </c>
      <c r="B191" s="60" t="s">
        <v>118</v>
      </c>
      <c r="C191" s="60">
        <v>1000</v>
      </c>
      <c r="D191" s="60">
        <v>0</v>
      </c>
    </row>
    <row r="192" spans="1:4" x14ac:dyDescent="0.25">
      <c r="A192" s="60">
        <v>192</v>
      </c>
      <c r="B192" s="60" t="s">
        <v>118</v>
      </c>
      <c r="C192" s="60">
        <v>1010</v>
      </c>
      <c r="D192" s="60">
        <v>0</v>
      </c>
    </row>
    <row r="193" spans="1:4" x14ac:dyDescent="0.25">
      <c r="A193" s="60">
        <v>192</v>
      </c>
      <c r="B193" s="60" t="s">
        <v>118</v>
      </c>
      <c r="C193" s="60">
        <v>1080</v>
      </c>
      <c r="D193" s="60">
        <v>0</v>
      </c>
    </row>
    <row r="194" spans="1:4" x14ac:dyDescent="0.25">
      <c r="A194" s="60">
        <v>192</v>
      </c>
      <c r="B194" s="60" t="s">
        <v>118</v>
      </c>
      <c r="C194" s="60">
        <v>1098</v>
      </c>
      <c r="D194" s="60">
        <v>0</v>
      </c>
    </row>
    <row r="195" spans="1:4" x14ac:dyDescent="0.25">
      <c r="A195" s="60">
        <v>193</v>
      </c>
      <c r="B195" s="60" t="s">
        <v>118</v>
      </c>
      <c r="C195" s="60">
        <v>1000</v>
      </c>
      <c r="D195" s="60">
        <v>0</v>
      </c>
    </row>
    <row r="196" spans="1:4" x14ac:dyDescent="0.25">
      <c r="A196" s="60">
        <v>193</v>
      </c>
      <c r="B196" s="60" t="s">
        <v>118</v>
      </c>
      <c r="C196" s="60">
        <v>1098</v>
      </c>
      <c r="D196" s="60">
        <v>0</v>
      </c>
    </row>
    <row r="197" spans="1:4" x14ac:dyDescent="0.25">
      <c r="A197" s="60">
        <v>194</v>
      </c>
      <c r="B197" s="60" t="s">
        <v>118</v>
      </c>
      <c r="C197" s="60">
        <v>1000</v>
      </c>
      <c r="D197" s="60">
        <v>0</v>
      </c>
    </row>
    <row r="198" spans="1:4" x14ac:dyDescent="0.25">
      <c r="A198" s="60">
        <v>194</v>
      </c>
      <c r="B198" s="60" t="s">
        <v>118</v>
      </c>
      <c r="C198" s="60">
        <v>1098</v>
      </c>
      <c r="D198" s="60">
        <v>0</v>
      </c>
    </row>
    <row r="199" spans="1:4" x14ac:dyDescent="0.25">
      <c r="A199" s="60">
        <v>195</v>
      </c>
      <c r="B199" s="60" t="s">
        <v>118</v>
      </c>
      <c r="C199" s="60">
        <v>1000</v>
      </c>
      <c r="D199" s="60">
        <v>0</v>
      </c>
    </row>
    <row r="200" spans="1:4" x14ac:dyDescent="0.25">
      <c r="A200" s="60">
        <v>195</v>
      </c>
      <c r="B200" s="60" t="s">
        <v>118</v>
      </c>
      <c r="C200" s="60">
        <v>1098</v>
      </c>
      <c r="D200" s="60">
        <v>0</v>
      </c>
    </row>
    <row r="201" spans="1:4" x14ac:dyDescent="0.25">
      <c r="A201" s="60">
        <v>196</v>
      </c>
      <c r="B201" s="60" t="s">
        <v>118</v>
      </c>
      <c r="C201" s="60">
        <v>1000</v>
      </c>
      <c r="D201" s="60">
        <v>0</v>
      </c>
    </row>
    <row r="202" spans="1:4" x14ac:dyDescent="0.25">
      <c r="A202" s="60">
        <v>196</v>
      </c>
      <c r="B202" s="60" t="s">
        <v>118</v>
      </c>
      <c r="C202" s="60">
        <v>1010</v>
      </c>
      <c r="D202" s="60">
        <v>0</v>
      </c>
    </row>
    <row r="203" spans="1:4" x14ac:dyDescent="0.25">
      <c r="A203" s="60">
        <v>197</v>
      </c>
      <c r="B203" s="60" t="s">
        <v>118</v>
      </c>
      <c r="C203" s="60">
        <v>1000</v>
      </c>
      <c r="D203" s="60">
        <v>0</v>
      </c>
    </row>
    <row r="204" spans="1:4" x14ac:dyDescent="0.25">
      <c r="A204" s="60">
        <v>197</v>
      </c>
      <c r="B204" s="60" t="s">
        <v>118</v>
      </c>
      <c r="C204" s="60">
        <v>1010</v>
      </c>
      <c r="D204" s="60">
        <v>0</v>
      </c>
    </row>
    <row r="205" spans="1:4" x14ac:dyDescent="0.25">
      <c r="A205" s="60">
        <v>198</v>
      </c>
      <c r="B205" s="60" t="s">
        <v>118</v>
      </c>
      <c r="C205" s="60">
        <v>1000</v>
      </c>
      <c r="D205" s="60">
        <v>0</v>
      </c>
    </row>
    <row r="206" spans="1:4" x14ac:dyDescent="0.25">
      <c r="A206" s="60">
        <v>198</v>
      </c>
      <c r="B206" s="60" t="s">
        <v>118</v>
      </c>
      <c r="C206" s="60">
        <v>1098</v>
      </c>
      <c r="D206" s="60">
        <v>0</v>
      </c>
    </row>
    <row r="207" spans="1:4" x14ac:dyDescent="0.25">
      <c r="A207" s="60">
        <v>212</v>
      </c>
      <c r="B207" s="60" t="s">
        <v>118</v>
      </c>
      <c r="C207" s="60">
        <v>1000</v>
      </c>
      <c r="D207" s="60">
        <v>0</v>
      </c>
    </row>
    <row r="208" spans="1:4" x14ac:dyDescent="0.25">
      <c r="A208" s="60">
        <v>212</v>
      </c>
      <c r="B208" s="60" t="s">
        <v>118</v>
      </c>
      <c r="C208" s="60">
        <v>1098</v>
      </c>
      <c r="D208" s="60">
        <v>0</v>
      </c>
    </row>
    <row r="209" spans="1:4" x14ac:dyDescent="0.25">
      <c r="A209" s="60">
        <v>215</v>
      </c>
      <c r="B209" s="60" t="s">
        <v>118</v>
      </c>
      <c r="C209" s="60">
        <v>1000</v>
      </c>
      <c r="D209" s="60">
        <v>0</v>
      </c>
    </row>
    <row r="210" spans="1:4" x14ac:dyDescent="0.25">
      <c r="A210" s="60">
        <v>215</v>
      </c>
      <c r="B210" s="60" t="s">
        <v>118</v>
      </c>
      <c r="C210" s="60">
        <v>1098</v>
      </c>
      <c r="D210" s="60">
        <v>0</v>
      </c>
    </row>
    <row r="211" spans="1:4" x14ac:dyDescent="0.25">
      <c r="A211" s="60">
        <v>222</v>
      </c>
      <c r="B211" s="60" t="s">
        <v>118</v>
      </c>
      <c r="C211" s="60">
        <v>1000</v>
      </c>
      <c r="D211" s="60">
        <v>0</v>
      </c>
    </row>
    <row r="212" spans="1:4" x14ac:dyDescent="0.25">
      <c r="A212" s="60">
        <v>222</v>
      </c>
      <c r="B212" s="60" t="s">
        <v>118</v>
      </c>
      <c r="C212" s="60">
        <v>1098</v>
      </c>
      <c r="D212" s="60">
        <v>0</v>
      </c>
    </row>
    <row r="213" spans="1:4" x14ac:dyDescent="0.25">
      <c r="A213" s="60">
        <v>242</v>
      </c>
      <c r="B213" s="60" t="s">
        <v>118</v>
      </c>
      <c r="C213" s="60">
        <v>1000</v>
      </c>
      <c r="D213" s="60">
        <v>0</v>
      </c>
    </row>
    <row r="214" spans="1:4" x14ac:dyDescent="0.25">
      <c r="A214" s="60">
        <v>242</v>
      </c>
      <c r="B214" s="60" t="s">
        <v>118</v>
      </c>
      <c r="C214" s="60">
        <v>1098</v>
      </c>
      <c r="D214" s="60">
        <v>0</v>
      </c>
    </row>
    <row r="215" spans="1:4" x14ac:dyDescent="0.25">
      <c r="A215" s="60">
        <v>252</v>
      </c>
      <c r="B215" s="60" t="s">
        <v>118</v>
      </c>
      <c r="C215" s="60">
        <v>1000</v>
      </c>
      <c r="D215" s="60">
        <v>0</v>
      </c>
    </row>
    <row r="216" spans="1:4" x14ac:dyDescent="0.25">
      <c r="A216" s="60">
        <v>262</v>
      </c>
      <c r="B216" s="60" t="s">
        <v>118</v>
      </c>
      <c r="C216" s="60">
        <v>1000</v>
      </c>
      <c r="D216" s="60">
        <v>0</v>
      </c>
    </row>
    <row r="217" spans="1:4" x14ac:dyDescent="0.25">
      <c r="A217" s="60">
        <v>262</v>
      </c>
      <c r="B217" s="60" t="s">
        <v>118</v>
      </c>
      <c r="C217" s="60">
        <v>1098</v>
      </c>
      <c r="D217" s="60">
        <v>0</v>
      </c>
    </row>
    <row r="218" spans="1:4" x14ac:dyDescent="0.25">
      <c r="A218" s="60">
        <v>272</v>
      </c>
      <c r="B218" s="60" t="s">
        <v>118</v>
      </c>
      <c r="C218" s="60">
        <v>1000</v>
      </c>
      <c r="D218" s="60">
        <v>0</v>
      </c>
    </row>
    <row r="219" spans="1:4" x14ac:dyDescent="0.25">
      <c r="A219" s="60">
        <v>282</v>
      </c>
      <c r="B219" s="60" t="s">
        <v>118</v>
      </c>
      <c r="C219" s="60">
        <v>1000</v>
      </c>
      <c r="D219" s="60">
        <v>0</v>
      </c>
    </row>
    <row r="220" spans="1:4" x14ac:dyDescent="0.25">
      <c r="A220" s="60">
        <v>292</v>
      </c>
      <c r="B220" s="60" t="s">
        <v>118</v>
      </c>
      <c r="C220" s="60">
        <v>1000</v>
      </c>
      <c r="D220" s="60">
        <v>0</v>
      </c>
    </row>
    <row r="221" spans="1:4" x14ac:dyDescent="0.25">
      <c r="A221" s="60">
        <v>293</v>
      </c>
      <c r="B221" s="60" t="s">
        <v>118</v>
      </c>
      <c r="C221" s="60">
        <v>1000</v>
      </c>
      <c r="D221" s="60">
        <v>63932</v>
      </c>
    </row>
    <row r="222" spans="1:4" x14ac:dyDescent="0.25">
      <c r="A222" s="60">
        <v>294</v>
      </c>
      <c r="B222" s="60" t="s">
        <v>118</v>
      </c>
      <c r="C222" s="60">
        <v>1000</v>
      </c>
      <c r="D222" s="60">
        <v>0</v>
      </c>
    </row>
    <row r="223" spans="1:4" x14ac:dyDescent="0.25">
      <c r="A223" s="60">
        <v>295</v>
      </c>
      <c r="B223" s="60" t="s">
        <v>118</v>
      </c>
      <c r="C223" s="60">
        <v>1000</v>
      </c>
      <c r="D223" s="60">
        <v>15900</v>
      </c>
    </row>
    <row r="224" spans="1:4" x14ac:dyDescent="0.25">
      <c r="A224" s="60">
        <v>311</v>
      </c>
      <c r="B224" s="60" t="s">
        <v>118</v>
      </c>
      <c r="C224" s="60">
        <v>1000</v>
      </c>
      <c r="D224" s="60">
        <v>15520</v>
      </c>
    </row>
    <row r="225" spans="1:4" x14ac:dyDescent="0.25">
      <c r="A225" s="60">
        <v>311</v>
      </c>
      <c r="B225" s="60" t="s">
        <v>118</v>
      </c>
      <c r="C225" s="60">
        <v>1010</v>
      </c>
      <c r="D225" s="60">
        <v>0</v>
      </c>
    </row>
    <row r="226" spans="1:4" x14ac:dyDescent="0.25">
      <c r="A226" s="60">
        <v>311</v>
      </c>
      <c r="B226" s="60" t="s">
        <v>118</v>
      </c>
      <c r="C226" s="60">
        <v>1098</v>
      </c>
      <c r="D226" s="60">
        <v>0</v>
      </c>
    </row>
    <row r="227" spans="1:4" x14ac:dyDescent="0.25">
      <c r="A227" s="60">
        <v>315</v>
      </c>
      <c r="B227" s="60" t="s">
        <v>118</v>
      </c>
      <c r="C227" s="60">
        <v>1000</v>
      </c>
      <c r="D227" s="60">
        <v>0</v>
      </c>
    </row>
    <row r="228" spans="1:4" x14ac:dyDescent="0.25">
      <c r="A228" s="60">
        <v>331</v>
      </c>
      <c r="B228" s="60" t="s">
        <v>118</v>
      </c>
      <c r="C228" s="60">
        <v>1000</v>
      </c>
      <c r="D228" s="60">
        <v>0</v>
      </c>
    </row>
    <row r="229" spans="1:4" x14ac:dyDescent="0.25">
      <c r="A229" s="60">
        <v>331</v>
      </c>
      <c r="B229" s="60" t="s">
        <v>118</v>
      </c>
      <c r="C229" s="60">
        <v>1098</v>
      </c>
      <c r="D229" s="60">
        <v>0</v>
      </c>
    </row>
    <row r="230" spans="1:4" x14ac:dyDescent="0.25">
      <c r="A230" s="60">
        <v>341</v>
      </c>
      <c r="B230" s="60" t="s">
        <v>118</v>
      </c>
      <c r="C230" s="60">
        <v>1000</v>
      </c>
      <c r="D230" s="60">
        <v>0</v>
      </c>
    </row>
    <row r="231" spans="1:4" x14ac:dyDescent="0.25">
      <c r="A231" s="60">
        <v>341</v>
      </c>
      <c r="B231" s="60" t="s">
        <v>118</v>
      </c>
      <c r="C231" s="60">
        <v>1098</v>
      </c>
      <c r="D231" s="60">
        <v>0</v>
      </c>
    </row>
    <row r="232" spans="1:4" x14ac:dyDescent="0.25">
      <c r="A232" s="60">
        <v>351</v>
      </c>
      <c r="B232" s="60" t="s">
        <v>118</v>
      </c>
      <c r="C232" s="60">
        <v>1000</v>
      </c>
      <c r="D232" s="60">
        <v>0</v>
      </c>
    </row>
    <row r="233" spans="1:4" x14ac:dyDescent="0.25">
      <c r="A233" s="60">
        <v>351</v>
      </c>
      <c r="B233" s="60" t="s">
        <v>118</v>
      </c>
      <c r="C233" s="60">
        <v>1098</v>
      </c>
      <c r="D233" s="60">
        <v>0</v>
      </c>
    </row>
    <row r="234" spans="1:4" x14ac:dyDescent="0.25">
      <c r="A234" s="60">
        <v>432</v>
      </c>
      <c r="B234" s="60" t="s">
        <v>118</v>
      </c>
      <c r="C234" s="60">
        <v>1000</v>
      </c>
      <c r="D234" s="60">
        <v>0</v>
      </c>
    </row>
    <row r="235" spans="1:4" x14ac:dyDescent="0.25">
      <c r="A235" s="60">
        <v>433</v>
      </c>
      <c r="B235" s="60" t="s">
        <v>118</v>
      </c>
      <c r="C235" s="60">
        <v>1000</v>
      </c>
      <c r="D235" s="60">
        <v>0</v>
      </c>
    </row>
    <row r="236" spans="1:4" x14ac:dyDescent="0.25">
      <c r="A236" s="60">
        <v>433</v>
      </c>
      <c r="B236" s="60" t="s">
        <v>118</v>
      </c>
      <c r="C236" s="60">
        <v>1098</v>
      </c>
      <c r="D236" s="60">
        <v>0</v>
      </c>
    </row>
    <row r="237" spans="1:4" x14ac:dyDescent="0.25">
      <c r="A237" s="60">
        <v>434</v>
      </c>
      <c r="B237" s="60" t="s">
        <v>118</v>
      </c>
      <c r="C237" s="60">
        <v>1000</v>
      </c>
      <c r="D237" s="60">
        <v>0</v>
      </c>
    </row>
    <row r="238" spans="1:4" x14ac:dyDescent="0.25">
      <c r="A238" s="60">
        <v>442</v>
      </c>
      <c r="B238" s="60" t="s">
        <v>118</v>
      </c>
      <c r="C238" s="60">
        <v>1000</v>
      </c>
      <c r="D238" s="60">
        <v>0</v>
      </c>
    </row>
    <row r="239" spans="1:4" x14ac:dyDescent="0.25">
      <c r="A239" s="60">
        <v>442</v>
      </c>
      <c r="B239" s="60" t="s">
        <v>118</v>
      </c>
      <c r="C239" s="60">
        <v>1098</v>
      </c>
      <c r="D239" s="60">
        <v>0</v>
      </c>
    </row>
    <row r="240" spans="1:4" x14ac:dyDescent="0.25">
      <c r="A240" s="60">
        <v>443</v>
      </c>
      <c r="B240" s="60" t="s">
        <v>118</v>
      </c>
      <c r="C240" s="60">
        <v>1000</v>
      </c>
      <c r="D240" s="60">
        <v>0</v>
      </c>
    </row>
    <row r="241" spans="1:4" x14ac:dyDescent="0.25">
      <c r="A241" s="60">
        <v>443</v>
      </c>
      <c r="B241" s="60" t="s">
        <v>118</v>
      </c>
      <c r="C241" s="60">
        <v>1098</v>
      </c>
      <c r="D241" s="60">
        <v>0</v>
      </c>
    </row>
    <row r="242" spans="1:4" x14ac:dyDescent="0.25">
      <c r="A242" s="60">
        <v>447</v>
      </c>
      <c r="B242" s="60" t="s">
        <v>118</v>
      </c>
      <c r="C242" s="60">
        <v>1000</v>
      </c>
      <c r="D242" s="60">
        <v>0</v>
      </c>
    </row>
    <row r="243" spans="1:4" x14ac:dyDescent="0.25">
      <c r="A243" s="60">
        <v>510</v>
      </c>
      <c r="B243" s="60" t="s">
        <v>118</v>
      </c>
      <c r="C243" s="60">
        <v>1000</v>
      </c>
      <c r="D243" s="60">
        <v>0</v>
      </c>
    </row>
    <row r="244" spans="1:4" x14ac:dyDescent="0.25">
      <c r="A244" s="60">
        <v>510</v>
      </c>
      <c r="B244" s="60" t="s">
        <v>118</v>
      </c>
      <c r="C244" s="60">
        <v>1080</v>
      </c>
      <c r="D244" s="60">
        <v>0</v>
      </c>
    </row>
    <row r="245" spans="1:4" x14ac:dyDescent="0.25">
      <c r="A245" s="60">
        <v>510</v>
      </c>
      <c r="B245" s="60" t="s">
        <v>118</v>
      </c>
      <c r="C245" s="60">
        <v>1098</v>
      </c>
      <c r="D245" s="60">
        <v>0</v>
      </c>
    </row>
    <row r="246" spans="1:4" x14ac:dyDescent="0.25">
      <c r="A246" s="60">
        <v>520</v>
      </c>
      <c r="B246" s="60" t="s">
        <v>118</v>
      </c>
      <c r="C246" s="60">
        <v>1000</v>
      </c>
      <c r="D246" s="60">
        <v>0</v>
      </c>
    </row>
    <row r="247" spans="1:4" x14ac:dyDescent="0.25">
      <c r="A247" s="60">
        <v>530</v>
      </c>
      <c r="B247" s="60" t="s">
        <v>118</v>
      </c>
      <c r="C247" s="60">
        <v>1000</v>
      </c>
      <c r="D247" s="60">
        <v>0</v>
      </c>
    </row>
    <row r="248" spans="1:4" x14ac:dyDescent="0.25">
      <c r="A248" s="60">
        <v>530</v>
      </c>
      <c r="B248" s="60" t="s">
        <v>118</v>
      </c>
      <c r="C248" s="60">
        <v>1098</v>
      </c>
      <c r="D248" s="60">
        <v>0</v>
      </c>
    </row>
    <row r="249" spans="1:4" x14ac:dyDescent="0.25">
      <c r="A249" s="60">
        <v>540</v>
      </c>
      <c r="B249" s="60" t="s">
        <v>118</v>
      </c>
      <c r="C249" s="60">
        <v>1000</v>
      </c>
      <c r="D249" s="60">
        <v>74163</v>
      </c>
    </row>
    <row r="250" spans="1:4" x14ac:dyDescent="0.25">
      <c r="A250" s="60">
        <v>540</v>
      </c>
      <c r="B250" s="60" t="s">
        <v>118</v>
      </c>
      <c r="C250" s="60">
        <v>1080</v>
      </c>
      <c r="D250" s="60">
        <v>0</v>
      </c>
    </row>
    <row r="251" spans="1:4" x14ac:dyDescent="0.25">
      <c r="A251" s="60">
        <v>540</v>
      </c>
      <c r="B251" s="60" t="s">
        <v>118</v>
      </c>
      <c r="C251" s="60">
        <v>1098</v>
      </c>
      <c r="D251" s="60">
        <v>0</v>
      </c>
    </row>
    <row r="252" spans="1:4" x14ac:dyDescent="0.25">
      <c r="A252" s="60">
        <v>541</v>
      </c>
      <c r="B252" s="60" t="s">
        <v>118</v>
      </c>
      <c r="C252" s="60">
        <v>1000</v>
      </c>
      <c r="D252" s="60">
        <v>0</v>
      </c>
    </row>
    <row r="253" spans="1:4" x14ac:dyDescent="0.25">
      <c r="A253" s="60">
        <v>542</v>
      </c>
      <c r="B253" s="60" t="s">
        <v>118</v>
      </c>
      <c r="C253" s="60">
        <v>1000</v>
      </c>
      <c r="D253" s="60">
        <v>0</v>
      </c>
    </row>
    <row r="254" spans="1:4" x14ac:dyDescent="0.25">
      <c r="A254" s="60">
        <v>543</v>
      </c>
      <c r="B254" s="60" t="s">
        <v>118</v>
      </c>
      <c r="C254" s="60">
        <v>1000</v>
      </c>
      <c r="D254" s="60">
        <v>0</v>
      </c>
    </row>
    <row r="255" spans="1:4" x14ac:dyDescent="0.25">
      <c r="A255" s="60">
        <v>543</v>
      </c>
      <c r="B255" s="60" t="s">
        <v>118</v>
      </c>
      <c r="C255" s="60">
        <v>1080</v>
      </c>
      <c r="D255" s="60">
        <v>0</v>
      </c>
    </row>
    <row r="256" spans="1:4" x14ac:dyDescent="0.25">
      <c r="A256" s="60">
        <v>544</v>
      </c>
      <c r="B256" s="60" t="s">
        <v>118</v>
      </c>
      <c r="C256" s="60">
        <v>1000</v>
      </c>
      <c r="D256" s="60">
        <v>0</v>
      </c>
    </row>
    <row r="257" spans="1:4" x14ac:dyDescent="0.25">
      <c r="A257" s="60">
        <v>545</v>
      </c>
      <c r="B257" s="60" t="s">
        <v>118</v>
      </c>
      <c r="C257" s="60">
        <v>1000</v>
      </c>
      <c r="D257" s="60">
        <v>0</v>
      </c>
    </row>
    <row r="258" spans="1:4" x14ac:dyDescent="0.25">
      <c r="A258" s="60">
        <v>546</v>
      </c>
      <c r="B258" s="60" t="s">
        <v>118</v>
      </c>
      <c r="C258" s="60">
        <v>1000</v>
      </c>
      <c r="D258" s="60">
        <v>0</v>
      </c>
    </row>
    <row r="259" spans="1:4" x14ac:dyDescent="0.25">
      <c r="A259" s="60">
        <v>547</v>
      </c>
      <c r="B259" s="60" t="s">
        <v>118</v>
      </c>
      <c r="C259" s="60">
        <v>1000</v>
      </c>
      <c r="D259" s="60">
        <v>0</v>
      </c>
    </row>
    <row r="260" spans="1:4" x14ac:dyDescent="0.25">
      <c r="A260" s="60">
        <v>548</v>
      </c>
      <c r="B260" s="60" t="s">
        <v>118</v>
      </c>
      <c r="C260" s="60">
        <v>1000</v>
      </c>
      <c r="D260" s="60">
        <v>0</v>
      </c>
    </row>
    <row r="261" spans="1:4" x14ac:dyDescent="0.25">
      <c r="A261" s="60">
        <v>549</v>
      </c>
      <c r="B261" s="60" t="s">
        <v>118</v>
      </c>
      <c r="C261" s="60">
        <v>1000</v>
      </c>
      <c r="D261" s="60">
        <v>0</v>
      </c>
    </row>
    <row r="262" spans="1:4" x14ac:dyDescent="0.25">
      <c r="A262" s="60">
        <v>550</v>
      </c>
      <c r="B262" s="60" t="s">
        <v>118</v>
      </c>
      <c r="C262" s="60">
        <v>1000</v>
      </c>
      <c r="D262" s="60">
        <v>0</v>
      </c>
    </row>
    <row r="263" spans="1:4" x14ac:dyDescent="0.25">
      <c r="A263" s="60">
        <v>551</v>
      </c>
      <c r="B263" s="60" t="s">
        <v>118</v>
      </c>
      <c r="C263" s="60">
        <v>1000</v>
      </c>
      <c r="D263" s="60">
        <v>231404</v>
      </c>
    </row>
    <row r="264" spans="1:4" x14ac:dyDescent="0.25">
      <c r="A264" s="60">
        <v>560</v>
      </c>
      <c r="B264" s="60" t="s">
        <v>118</v>
      </c>
      <c r="C264" s="60">
        <v>1000</v>
      </c>
      <c r="D264" s="60">
        <v>1313826</v>
      </c>
    </row>
    <row r="265" spans="1:4" x14ac:dyDescent="0.25">
      <c r="A265" s="60">
        <v>560</v>
      </c>
      <c r="B265" s="60" t="s">
        <v>118</v>
      </c>
      <c r="C265" s="60">
        <v>1080</v>
      </c>
      <c r="D265" s="60">
        <v>0</v>
      </c>
    </row>
    <row r="266" spans="1:4" x14ac:dyDescent="0.25">
      <c r="A266" s="60">
        <v>561</v>
      </c>
      <c r="B266" s="60" t="s">
        <v>118</v>
      </c>
      <c r="C266" s="60">
        <v>1000</v>
      </c>
      <c r="D266" s="60">
        <v>0</v>
      </c>
    </row>
    <row r="267" spans="1:4" x14ac:dyDescent="0.25">
      <c r="A267" s="60">
        <v>561</v>
      </c>
      <c r="B267" s="60" t="s">
        <v>118</v>
      </c>
      <c r="C267" s="60">
        <v>1080</v>
      </c>
      <c r="D267" s="60">
        <v>0</v>
      </c>
    </row>
    <row r="268" spans="1:4" x14ac:dyDescent="0.25">
      <c r="A268" s="60">
        <v>565</v>
      </c>
      <c r="B268" s="60" t="s">
        <v>118</v>
      </c>
      <c r="C268" s="60">
        <v>1000</v>
      </c>
      <c r="D268" s="60">
        <v>0</v>
      </c>
    </row>
    <row r="269" spans="1:4" x14ac:dyDescent="0.25">
      <c r="A269" s="60">
        <v>571</v>
      </c>
      <c r="B269" s="60" t="s">
        <v>118</v>
      </c>
      <c r="C269" s="60">
        <v>1000</v>
      </c>
      <c r="D269" s="60">
        <v>0</v>
      </c>
    </row>
    <row r="270" spans="1:4" x14ac:dyDescent="0.25">
      <c r="A270" s="60">
        <v>601</v>
      </c>
      <c r="B270" s="60" t="s">
        <v>118</v>
      </c>
      <c r="C270" s="60">
        <v>1000</v>
      </c>
      <c r="D270" s="60">
        <v>0</v>
      </c>
    </row>
    <row r="271" spans="1:4" x14ac:dyDescent="0.25">
      <c r="A271" s="60">
        <v>602</v>
      </c>
      <c r="B271" s="60" t="s">
        <v>118</v>
      </c>
      <c r="C271" s="60">
        <v>1000</v>
      </c>
      <c r="D271" s="60">
        <v>0</v>
      </c>
    </row>
    <row r="272" spans="1:4" x14ac:dyDescent="0.25">
      <c r="A272" s="60">
        <v>603</v>
      </c>
      <c r="B272" s="60" t="s">
        <v>118</v>
      </c>
      <c r="C272" s="60">
        <v>1000</v>
      </c>
      <c r="D272" s="60">
        <v>0</v>
      </c>
    </row>
    <row r="273" spans="1:4" x14ac:dyDescent="0.25">
      <c r="A273" s="60">
        <v>961</v>
      </c>
      <c r="B273" s="60" t="s">
        <v>118</v>
      </c>
      <c r="C273" s="60">
        <v>1000</v>
      </c>
      <c r="D273" s="60">
        <v>0</v>
      </c>
    </row>
    <row r="274" spans="1:4" x14ac:dyDescent="0.25">
      <c r="A274" s="60">
        <v>1</v>
      </c>
      <c r="B274" s="60" t="s">
        <v>119</v>
      </c>
      <c r="C274" s="60">
        <v>1000</v>
      </c>
      <c r="D274" s="60">
        <v>11698525</v>
      </c>
    </row>
    <row r="275" spans="1:4" x14ac:dyDescent="0.25">
      <c r="A275" s="60">
        <v>1</v>
      </c>
      <c r="B275" s="60" t="s">
        <v>119</v>
      </c>
      <c r="C275" s="60">
        <v>1080</v>
      </c>
      <c r="D275" s="60">
        <v>48000000</v>
      </c>
    </row>
    <row r="276" spans="1:4" x14ac:dyDescent="0.25">
      <c r="A276" s="60">
        <v>1</v>
      </c>
      <c r="B276" s="60" t="s">
        <v>119</v>
      </c>
      <c r="C276" s="60">
        <v>1098</v>
      </c>
      <c r="D276" s="60">
        <v>0</v>
      </c>
    </row>
    <row r="277" spans="1:4" x14ac:dyDescent="0.25">
      <c r="A277" s="60">
        <v>11</v>
      </c>
      <c r="B277" s="60" t="s">
        <v>119</v>
      </c>
      <c r="C277" s="60">
        <v>1000</v>
      </c>
      <c r="D277" s="60">
        <v>0</v>
      </c>
    </row>
    <row r="278" spans="1:4" x14ac:dyDescent="0.25">
      <c r="A278" s="60">
        <v>11</v>
      </c>
      <c r="B278" s="60" t="s">
        <v>119</v>
      </c>
      <c r="C278" s="60">
        <v>1098</v>
      </c>
      <c r="D278" s="60">
        <v>0</v>
      </c>
    </row>
    <row r="279" spans="1:4" x14ac:dyDescent="0.25">
      <c r="A279" s="60">
        <v>21</v>
      </c>
      <c r="B279" s="60" t="s">
        <v>119</v>
      </c>
      <c r="C279" s="60">
        <v>1000</v>
      </c>
      <c r="D279" s="60">
        <v>0</v>
      </c>
    </row>
    <row r="280" spans="1:4" x14ac:dyDescent="0.25">
      <c r="A280" s="60">
        <v>31</v>
      </c>
      <c r="B280" s="60" t="s">
        <v>119</v>
      </c>
      <c r="C280" s="60">
        <v>1000</v>
      </c>
      <c r="D280" s="60">
        <v>0</v>
      </c>
    </row>
    <row r="281" spans="1:4" x14ac:dyDescent="0.25">
      <c r="A281" s="60">
        <v>31</v>
      </c>
      <c r="B281" s="60" t="s">
        <v>119</v>
      </c>
      <c r="C281" s="60">
        <v>1098</v>
      </c>
      <c r="D281" s="60">
        <v>0</v>
      </c>
    </row>
    <row r="282" spans="1:4" x14ac:dyDescent="0.25">
      <c r="A282" s="60">
        <v>61</v>
      </c>
      <c r="B282" s="60" t="s">
        <v>119</v>
      </c>
      <c r="C282" s="60">
        <v>1000</v>
      </c>
      <c r="D282" s="60">
        <v>0</v>
      </c>
    </row>
    <row r="283" spans="1:4" x14ac:dyDescent="0.25">
      <c r="A283" s="60">
        <v>71</v>
      </c>
      <c r="B283" s="60" t="s">
        <v>119</v>
      </c>
      <c r="C283" s="60">
        <v>1000</v>
      </c>
      <c r="D283" s="60">
        <v>0</v>
      </c>
    </row>
    <row r="284" spans="1:4" x14ac:dyDescent="0.25">
      <c r="A284" s="60">
        <v>71</v>
      </c>
      <c r="B284" s="60" t="s">
        <v>119</v>
      </c>
      <c r="C284" s="60">
        <v>1098</v>
      </c>
      <c r="D284" s="60">
        <v>0</v>
      </c>
    </row>
    <row r="285" spans="1:4" x14ac:dyDescent="0.25">
      <c r="A285" s="60">
        <v>81</v>
      </c>
      <c r="B285" s="60" t="s">
        <v>119</v>
      </c>
      <c r="C285" s="60">
        <v>1000</v>
      </c>
      <c r="D285" s="60">
        <v>0</v>
      </c>
    </row>
    <row r="286" spans="1:4" x14ac:dyDescent="0.25">
      <c r="A286" s="60">
        <v>91</v>
      </c>
      <c r="B286" s="60" t="s">
        <v>119</v>
      </c>
      <c r="C286" s="60">
        <v>1000</v>
      </c>
      <c r="D286" s="60">
        <v>0</v>
      </c>
    </row>
    <row r="287" spans="1:4" x14ac:dyDescent="0.25">
      <c r="A287" s="60">
        <v>91</v>
      </c>
      <c r="B287" s="60" t="s">
        <v>119</v>
      </c>
      <c r="C287" s="60">
        <v>1098</v>
      </c>
      <c r="D287" s="60">
        <v>0</v>
      </c>
    </row>
    <row r="288" spans="1:4" x14ac:dyDescent="0.25">
      <c r="A288" s="60">
        <v>101</v>
      </c>
      <c r="B288" s="60" t="s">
        <v>119</v>
      </c>
      <c r="C288" s="60">
        <v>1000</v>
      </c>
      <c r="D288" s="60">
        <v>0</v>
      </c>
    </row>
    <row r="289" spans="1:4" x14ac:dyDescent="0.25">
      <c r="A289" s="60">
        <v>111</v>
      </c>
      <c r="B289" s="60" t="s">
        <v>119</v>
      </c>
      <c r="C289" s="60">
        <v>1000</v>
      </c>
      <c r="D289" s="60">
        <v>0</v>
      </c>
    </row>
    <row r="290" spans="1:4" x14ac:dyDescent="0.25">
      <c r="A290" s="60">
        <v>111</v>
      </c>
      <c r="B290" s="60" t="s">
        <v>119</v>
      </c>
      <c r="C290" s="60">
        <v>1080</v>
      </c>
      <c r="D290" s="60">
        <v>0</v>
      </c>
    </row>
    <row r="291" spans="1:4" x14ac:dyDescent="0.25">
      <c r="A291" s="60">
        <v>111</v>
      </c>
      <c r="B291" s="60" t="s">
        <v>119</v>
      </c>
      <c r="C291" s="60">
        <v>1098</v>
      </c>
      <c r="D291" s="60">
        <v>0</v>
      </c>
    </row>
    <row r="292" spans="1:4" x14ac:dyDescent="0.25">
      <c r="A292" s="60">
        <v>121</v>
      </c>
      <c r="B292" s="60" t="s">
        <v>119</v>
      </c>
      <c r="C292" s="60">
        <v>1000</v>
      </c>
      <c r="D292" s="60">
        <v>0</v>
      </c>
    </row>
    <row r="293" spans="1:4" x14ac:dyDescent="0.25">
      <c r="A293" s="60">
        <v>131</v>
      </c>
      <c r="B293" s="60" t="s">
        <v>119</v>
      </c>
      <c r="C293" s="60">
        <v>1000</v>
      </c>
      <c r="D293" s="60">
        <v>0</v>
      </c>
    </row>
    <row r="294" spans="1:4" x14ac:dyDescent="0.25">
      <c r="A294" s="60">
        <v>151</v>
      </c>
      <c r="B294" s="60" t="s">
        <v>119</v>
      </c>
      <c r="C294" s="60">
        <v>1000</v>
      </c>
      <c r="D294" s="60">
        <v>0</v>
      </c>
    </row>
    <row r="295" spans="1:4" x14ac:dyDescent="0.25">
      <c r="A295" s="60">
        <v>161</v>
      </c>
      <c r="B295" s="60" t="s">
        <v>119</v>
      </c>
      <c r="C295" s="60">
        <v>1000</v>
      </c>
      <c r="D295" s="60">
        <v>0</v>
      </c>
    </row>
    <row r="296" spans="1:4" x14ac:dyDescent="0.25">
      <c r="A296" s="60">
        <v>171</v>
      </c>
      <c r="B296" s="60" t="s">
        <v>119</v>
      </c>
      <c r="C296" s="60">
        <v>1000</v>
      </c>
      <c r="D296" s="60">
        <v>0</v>
      </c>
    </row>
    <row r="297" spans="1:4" x14ac:dyDescent="0.25">
      <c r="A297" s="60">
        <v>181</v>
      </c>
      <c r="B297" s="60" t="s">
        <v>119</v>
      </c>
      <c r="C297" s="60">
        <v>1000</v>
      </c>
      <c r="D297" s="60">
        <v>0</v>
      </c>
    </row>
    <row r="298" spans="1:4" x14ac:dyDescent="0.25">
      <c r="A298" s="60">
        <v>182</v>
      </c>
      <c r="B298" s="60" t="s">
        <v>119</v>
      </c>
      <c r="C298" s="60">
        <v>1000</v>
      </c>
      <c r="D298" s="60">
        <v>0</v>
      </c>
    </row>
    <row r="299" spans="1:4" x14ac:dyDescent="0.25">
      <c r="A299" s="60">
        <v>182</v>
      </c>
      <c r="B299" s="60" t="s">
        <v>119</v>
      </c>
      <c r="C299" s="60">
        <v>1098</v>
      </c>
      <c r="D299" s="60">
        <v>0</v>
      </c>
    </row>
    <row r="300" spans="1:4" x14ac:dyDescent="0.25">
      <c r="A300" s="60">
        <v>187</v>
      </c>
      <c r="B300" s="60" t="s">
        <v>119</v>
      </c>
      <c r="C300" s="60">
        <v>1000</v>
      </c>
      <c r="D300" s="60">
        <v>0</v>
      </c>
    </row>
    <row r="301" spans="1:4" x14ac:dyDescent="0.25">
      <c r="A301" s="60">
        <v>187</v>
      </c>
      <c r="B301" s="60" t="s">
        <v>119</v>
      </c>
      <c r="C301" s="60">
        <v>1080</v>
      </c>
      <c r="D301" s="60">
        <v>0</v>
      </c>
    </row>
    <row r="302" spans="1:4" x14ac:dyDescent="0.25">
      <c r="A302" s="60">
        <v>191</v>
      </c>
      <c r="B302" s="60" t="s">
        <v>119</v>
      </c>
      <c r="C302" s="60">
        <v>1000</v>
      </c>
      <c r="D302" s="60">
        <v>0</v>
      </c>
    </row>
    <row r="303" spans="1:4" x14ac:dyDescent="0.25">
      <c r="A303" s="60">
        <v>191</v>
      </c>
      <c r="B303" s="60" t="s">
        <v>119</v>
      </c>
      <c r="C303" s="60">
        <v>1080</v>
      </c>
      <c r="D303" s="60">
        <v>0</v>
      </c>
    </row>
    <row r="304" spans="1:4" x14ac:dyDescent="0.25">
      <c r="A304" s="60">
        <v>192</v>
      </c>
      <c r="B304" s="60" t="s">
        <v>119</v>
      </c>
      <c r="C304" s="60">
        <v>1000</v>
      </c>
      <c r="D304" s="60">
        <v>0</v>
      </c>
    </row>
    <row r="305" spans="1:4" x14ac:dyDescent="0.25">
      <c r="A305" s="60">
        <v>192</v>
      </c>
      <c r="B305" s="60" t="s">
        <v>119</v>
      </c>
      <c r="C305" s="60">
        <v>1010</v>
      </c>
      <c r="D305" s="60">
        <v>0</v>
      </c>
    </row>
    <row r="306" spans="1:4" x14ac:dyDescent="0.25">
      <c r="A306" s="60">
        <v>192</v>
      </c>
      <c r="B306" s="60" t="s">
        <v>119</v>
      </c>
      <c r="C306" s="60">
        <v>1098</v>
      </c>
      <c r="D306" s="60">
        <v>0</v>
      </c>
    </row>
    <row r="307" spans="1:4" x14ac:dyDescent="0.25">
      <c r="A307" s="60">
        <v>193</v>
      </c>
      <c r="B307" s="60" t="s">
        <v>119</v>
      </c>
      <c r="C307" s="60">
        <v>1000</v>
      </c>
      <c r="D307" s="60">
        <v>52126</v>
      </c>
    </row>
    <row r="308" spans="1:4" x14ac:dyDescent="0.25">
      <c r="A308" s="60">
        <v>193</v>
      </c>
      <c r="B308" s="60" t="s">
        <v>119</v>
      </c>
      <c r="C308" s="60">
        <v>1098</v>
      </c>
      <c r="D308" s="60">
        <v>0</v>
      </c>
    </row>
    <row r="309" spans="1:4" x14ac:dyDescent="0.25">
      <c r="A309" s="60">
        <v>194</v>
      </c>
      <c r="B309" s="60" t="s">
        <v>119</v>
      </c>
      <c r="C309" s="60">
        <v>1000</v>
      </c>
      <c r="D309" s="60">
        <v>0</v>
      </c>
    </row>
    <row r="310" spans="1:4" x14ac:dyDescent="0.25">
      <c r="A310" s="60">
        <v>195</v>
      </c>
      <c r="B310" s="60" t="s">
        <v>119</v>
      </c>
      <c r="C310" s="60">
        <v>1000</v>
      </c>
      <c r="D310" s="60">
        <v>0</v>
      </c>
    </row>
    <row r="311" spans="1:4" x14ac:dyDescent="0.25">
      <c r="A311" s="60">
        <v>195</v>
      </c>
      <c r="B311" s="60" t="s">
        <v>119</v>
      </c>
      <c r="C311" s="60">
        <v>1010</v>
      </c>
      <c r="D311" s="60">
        <v>0</v>
      </c>
    </row>
    <row r="312" spans="1:4" x14ac:dyDescent="0.25">
      <c r="A312" s="60">
        <v>195</v>
      </c>
      <c r="B312" s="60" t="s">
        <v>119</v>
      </c>
      <c r="C312" s="60">
        <v>1098</v>
      </c>
      <c r="D312" s="60">
        <v>0</v>
      </c>
    </row>
    <row r="313" spans="1:4" x14ac:dyDescent="0.25">
      <c r="A313" s="60">
        <v>196</v>
      </c>
      <c r="B313" s="60" t="s">
        <v>119</v>
      </c>
      <c r="C313" s="60">
        <v>1000</v>
      </c>
      <c r="D313" s="60">
        <v>0</v>
      </c>
    </row>
    <row r="314" spans="1:4" x14ac:dyDescent="0.25">
      <c r="A314" s="60">
        <v>198</v>
      </c>
      <c r="B314" s="60" t="s">
        <v>119</v>
      </c>
      <c r="C314" s="60">
        <v>1000</v>
      </c>
      <c r="D314" s="60">
        <v>0</v>
      </c>
    </row>
    <row r="315" spans="1:4" x14ac:dyDescent="0.25">
      <c r="A315" s="60">
        <v>205</v>
      </c>
      <c r="B315" s="60" t="s">
        <v>119</v>
      </c>
      <c r="C315" s="60">
        <v>1000</v>
      </c>
      <c r="D315" s="60">
        <v>0</v>
      </c>
    </row>
    <row r="316" spans="1:4" x14ac:dyDescent="0.25">
      <c r="A316" s="60">
        <v>205</v>
      </c>
      <c r="B316" s="60" t="s">
        <v>119</v>
      </c>
      <c r="C316" s="60">
        <v>1098</v>
      </c>
      <c r="D316" s="60">
        <v>0</v>
      </c>
    </row>
    <row r="317" spans="1:4" x14ac:dyDescent="0.25">
      <c r="A317" s="60">
        <v>212</v>
      </c>
      <c r="B317" s="60" t="s">
        <v>119</v>
      </c>
      <c r="C317" s="60">
        <v>1000</v>
      </c>
      <c r="D317" s="60">
        <v>16560</v>
      </c>
    </row>
    <row r="318" spans="1:4" x14ac:dyDescent="0.25">
      <c r="A318" s="60">
        <v>212</v>
      </c>
      <c r="B318" s="60" t="s">
        <v>119</v>
      </c>
      <c r="C318" s="60">
        <v>1098</v>
      </c>
      <c r="D318" s="60">
        <v>0</v>
      </c>
    </row>
    <row r="319" spans="1:4" x14ac:dyDescent="0.25">
      <c r="A319" s="60">
        <v>222</v>
      </c>
      <c r="B319" s="60" t="s">
        <v>119</v>
      </c>
      <c r="C319" s="60">
        <v>1000</v>
      </c>
      <c r="D319" s="60">
        <v>2495477</v>
      </c>
    </row>
    <row r="320" spans="1:4" x14ac:dyDescent="0.25">
      <c r="A320" s="60">
        <v>222</v>
      </c>
      <c r="B320" s="60" t="s">
        <v>119</v>
      </c>
      <c r="C320" s="60">
        <v>1098</v>
      </c>
      <c r="D320" s="60">
        <v>0</v>
      </c>
    </row>
    <row r="321" spans="1:4" x14ac:dyDescent="0.25">
      <c r="A321" s="60">
        <v>242</v>
      </c>
      <c r="B321" s="60" t="s">
        <v>119</v>
      </c>
      <c r="C321" s="60">
        <v>1000</v>
      </c>
      <c r="D321" s="60">
        <v>0</v>
      </c>
    </row>
    <row r="322" spans="1:4" x14ac:dyDescent="0.25">
      <c r="A322" s="60">
        <v>242</v>
      </c>
      <c r="B322" s="60" t="s">
        <v>119</v>
      </c>
      <c r="C322" s="60">
        <v>1098</v>
      </c>
      <c r="D322" s="60">
        <v>0</v>
      </c>
    </row>
    <row r="323" spans="1:4" x14ac:dyDescent="0.25">
      <c r="A323" s="60">
        <v>252</v>
      </c>
      <c r="B323" s="60" t="s">
        <v>119</v>
      </c>
      <c r="C323" s="60">
        <v>1000</v>
      </c>
      <c r="D323" s="60">
        <v>0</v>
      </c>
    </row>
    <row r="324" spans="1:4" x14ac:dyDescent="0.25">
      <c r="A324" s="60">
        <v>262</v>
      </c>
      <c r="B324" s="60" t="s">
        <v>119</v>
      </c>
      <c r="C324" s="60">
        <v>1000</v>
      </c>
      <c r="D324" s="60">
        <v>71031</v>
      </c>
    </row>
    <row r="325" spans="1:4" x14ac:dyDescent="0.25">
      <c r="A325" s="60">
        <v>262</v>
      </c>
      <c r="B325" s="60" t="s">
        <v>119</v>
      </c>
      <c r="C325" s="60">
        <v>1098</v>
      </c>
      <c r="D325" s="60">
        <v>0</v>
      </c>
    </row>
    <row r="326" spans="1:4" x14ac:dyDescent="0.25">
      <c r="A326" s="60">
        <v>272</v>
      </c>
      <c r="B326" s="60" t="s">
        <v>119</v>
      </c>
      <c r="C326" s="60">
        <v>1000</v>
      </c>
      <c r="D326" s="60">
        <v>290455</v>
      </c>
    </row>
    <row r="327" spans="1:4" x14ac:dyDescent="0.25">
      <c r="A327" s="60">
        <v>272</v>
      </c>
      <c r="B327" s="60" t="s">
        <v>119</v>
      </c>
      <c r="C327" s="60">
        <v>1098</v>
      </c>
      <c r="D327" s="60">
        <v>0</v>
      </c>
    </row>
    <row r="328" spans="1:4" x14ac:dyDescent="0.25">
      <c r="A328" s="60">
        <v>282</v>
      </c>
      <c r="B328" s="60" t="s">
        <v>119</v>
      </c>
      <c r="C328" s="60">
        <v>1000</v>
      </c>
      <c r="D328" s="60">
        <v>0</v>
      </c>
    </row>
    <row r="329" spans="1:4" x14ac:dyDescent="0.25">
      <c r="A329" s="60">
        <v>292</v>
      </c>
      <c r="B329" s="60" t="s">
        <v>119</v>
      </c>
      <c r="C329" s="60">
        <v>1000</v>
      </c>
      <c r="D329" s="60">
        <v>1</v>
      </c>
    </row>
    <row r="330" spans="1:4" x14ac:dyDescent="0.25">
      <c r="A330" s="60">
        <v>292</v>
      </c>
      <c r="B330" s="60" t="s">
        <v>119</v>
      </c>
      <c r="C330" s="60">
        <v>1098</v>
      </c>
      <c r="D330" s="60">
        <v>0</v>
      </c>
    </row>
    <row r="331" spans="1:4" x14ac:dyDescent="0.25">
      <c r="A331" s="60">
        <v>293</v>
      </c>
      <c r="B331" s="60" t="s">
        <v>119</v>
      </c>
      <c r="C331" s="60">
        <v>1000</v>
      </c>
      <c r="D331" s="60">
        <v>0</v>
      </c>
    </row>
    <row r="332" spans="1:4" x14ac:dyDescent="0.25">
      <c r="A332" s="60">
        <v>294</v>
      </c>
      <c r="B332" s="60" t="s">
        <v>119</v>
      </c>
      <c r="C332" s="60">
        <v>1000</v>
      </c>
      <c r="D332" s="60">
        <v>0</v>
      </c>
    </row>
    <row r="333" spans="1:4" x14ac:dyDescent="0.25">
      <c r="A333" s="60">
        <v>294</v>
      </c>
      <c r="B333" s="60" t="s">
        <v>119</v>
      </c>
      <c r="C333" s="60">
        <v>1080</v>
      </c>
      <c r="D333" s="60">
        <v>0</v>
      </c>
    </row>
    <row r="334" spans="1:4" x14ac:dyDescent="0.25">
      <c r="A334" s="60">
        <v>295</v>
      </c>
      <c r="B334" s="60" t="s">
        <v>119</v>
      </c>
      <c r="C334" s="60">
        <v>1000</v>
      </c>
      <c r="D334" s="60">
        <v>0</v>
      </c>
    </row>
    <row r="335" spans="1:4" x14ac:dyDescent="0.25">
      <c r="A335" s="60">
        <v>295</v>
      </c>
      <c r="B335" s="60" t="s">
        <v>119</v>
      </c>
      <c r="C335" s="60">
        <v>1080</v>
      </c>
      <c r="D335" s="60">
        <v>0</v>
      </c>
    </row>
    <row r="336" spans="1:4" x14ac:dyDescent="0.25">
      <c r="A336" s="60">
        <v>311</v>
      </c>
      <c r="B336" s="60" t="s">
        <v>119</v>
      </c>
      <c r="C336" s="60">
        <v>1000</v>
      </c>
      <c r="D336" s="60">
        <v>19162</v>
      </c>
    </row>
    <row r="337" spans="1:4" x14ac:dyDescent="0.25">
      <c r="A337" s="60">
        <v>311</v>
      </c>
      <c r="B337" s="60" t="s">
        <v>119</v>
      </c>
      <c r="C337" s="60">
        <v>1080</v>
      </c>
      <c r="D337" s="60">
        <v>0</v>
      </c>
    </row>
    <row r="338" spans="1:4" x14ac:dyDescent="0.25">
      <c r="A338" s="60">
        <v>311</v>
      </c>
      <c r="B338" s="60" t="s">
        <v>119</v>
      </c>
      <c r="C338" s="60">
        <v>1098</v>
      </c>
      <c r="D338" s="60">
        <v>0</v>
      </c>
    </row>
    <row r="339" spans="1:4" x14ac:dyDescent="0.25">
      <c r="A339" s="60">
        <v>331</v>
      </c>
      <c r="B339" s="60" t="s">
        <v>119</v>
      </c>
      <c r="C339" s="60">
        <v>1000</v>
      </c>
      <c r="D339" s="60">
        <v>0</v>
      </c>
    </row>
    <row r="340" spans="1:4" x14ac:dyDescent="0.25">
      <c r="A340" s="60">
        <v>341</v>
      </c>
      <c r="B340" s="60" t="s">
        <v>119</v>
      </c>
      <c r="C340" s="60">
        <v>1000</v>
      </c>
      <c r="D340" s="60">
        <v>1288904</v>
      </c>
    </row>
    <row r="341" spans="1:4" x14ac:dyDescent="0.25">
      <c r="A341" s="60">
        <v>341</v>
      </c>
      <c r="B341" s="60" t="s">
        <v>119</v>
      </c>
      <c r="C341" s="60">
        <v>1098</v>
      </c>
      <c r="D341" s="60">
        <v>0</v>
      </c>
    </row>
    <row r="342" spans="1:4" x14ac:dyDescent="0.25">
      <c r="A342" s="60">
        <v>351</v>
      </c>
      <c r="B342" s="60" t="s">
        <v>119</v>
      </c>
      <c r="C342" s="60">
        <v>1000</v>
      </c>
      <c r="D342" s="60">
        <v>0</v>
      </c>
    </row>
    <row r="343" spans="1:4" x14ac:dyDescent="0.25">
      <c r="A343" s="60">
        <v>351</v>
      </c>
      <c r="B343" s="60" t="s">
        <v>119</v>
      </c>
      <c r="C343" s="60">
        <v>1010</v>
      </c>
      <c r="D343" s="60">
        <v>0</v>
      </c>
    </row>
    <row r="344" spans="1:4" x14ac:dyDescent="0.25">
      <c r="A344" s="60">
        <v>361</v>
      </c>
      <c r="B344" s="60" t="s">
        <v>119</v>
      </c>
      <c r="C344" s="60">
        <v>1000</v>
      </c>
      <c r="D344" s="60">
        <v>0</v>
      </c>
    </row>
    <row r="345" spans="1:4" x14ac:dyDescent="0.25">
      <c r="A345" s="60">
        <v>432</v>
      </c>
      <c r="B345" s="60" t="s">
        <v>119</v>
      </c>
      <c r="C345" s="60">
        <v>1000</v>
      </c>
      <c r="D345" s="60">
        <v>0</v>
      </c>
    </row>
    <row r="346" spans="1:4" x14ac:dyDescent="0.25">
      <c r="A346" s="60">
        <v>432</v>
      </c>
      <c r="B346" s="60" t="s">
        <v>119</v>
      </c>
      <c r="C346" s="60">
        <v>1098</v>
      </c>
      <c r="D346" s="60">
        <v>0</v>
      </c>
    </row>
    <row r="347" spans="1:4" x14ac:dyDescent="0.25">
      <c r="A347" s="60">
        <v>433</v>
      </c>
      <c r="B347" s="60" t="s">
        <v>119</v>
      </c>
      <c r="C347" s="60">
        <v>1000</v>
      </c>
      <c r="D347" s="60">
        <v>0</v>
      </c>
    </row>
    <row r="348" spans="1:4" x14ac:dyDescent="0.25">
      <c r="A348" s="60">
        <v>433</v>
      </c>
      <c r="B348" s="60" t="s">
        <v>119</v>
      </c>
      <c r="C348" s="60">
        <v>1098</v>
      </c>
      <c r="D348" s="60">
        <v>0</v>
      </c>
    </row>
    <row r="349" spans="1:4" x14ac:dyDescent="0.25">
      <c r="A349" s="60">
        <v>442</v>
      </c>
      <c r="B349" s="60" t="s">
        <v>119</v>
      </c>
      <c r="C349" s="60">
        <v>1000</v>
      </c>
      <c r="D349" s="60">
        <v>0</v>
      </c>
    </row>
    <row r="350" spans="1:4" x14ac:dyDescent="0.25">
      <c r="A350" s="60">
        <v>442</v>
      </c>
      <c r="B350" s="60" t="s">
        <v>119</v>
      </c>
      <c r="C350" s="60">
        <v>1098</v>
      </c>
      <c r="D350" s="60">
        <v>0</v>
      </c>
    </row>
    <row r="351" spans="1:4" x14ac:dyDescent="0.25">
      <c r="A351" s="60">
        <v>443</v>
      </c>
      <c r="B351" s="60" t="s">
        <v>119</v>
      </c>
      <c r="C351" s="60">
        <v>1000</v>
      </c>
      <c r="D351" s="60">
        <v>0</v>
      </c>
    </row>
    <row r="352" spans="1:4" x14ac:dyDescent="0.25">
      <c r="A352" s="60">
        <v>443</v>
      </c>
      <c r="B352" s="60" t="s">
        <v>119</v>
      </c>
      <c r="C352" s="60">
        <v>1098</v>
      </c>
      <c r="D352" s="60">
        <v>0</v>
      </c>
    </row>
    <row r="353" spans="1:4" x14ac:dyDescent="0.25">
      <c r="A353" s="60">
        <v>447</v>
      </c>
      <c r="B353" s="60" t="s">
        <v>119</v>
      </c>
      <c r="C353" s="60">
        <v>1000</v>
      </c>
      <c r="D353" s="60">
        <v>0</v>
      </c>
    </row>
    <row r="354" spans="1:4" x14ac:dyDescent="0.25">
      <c r="A354" s="60">
        <v>510</v>
      </c>
      <c r="B354" s="60" t="s">
        <v>119</v>
      </c>
      <c r="C354" s="60">
        <v>1000</v>
      </c>
      <c r="D354" s="60">
        <v>0</v>
      </c>
    </row>
    <row r="355" spans="1:4" x14ac:dyDescent="0.25">
      <c r="A355" s="60">
        <v>510</v>
      </c>
      <c r="B355" s="60" t="s">
        <v>119</v>
      </c>
      <c r="C355" s="60">
        <v>1098</v>
      </c>
      <c r="D355" s="60">
        <v>0</v>
      </c>
    </row>
    <row r="356" spans="1:4" x14ac:dyDescent="0.25">
      <c r="A356" s="60">
        <v>530</v>
      </c>
      <c r="B356" s="60" t="s">
        <v>119</v>
      </c>
      <c r="C356" s="60">
        <v>1000</v>
      </c>
      <c r="D356" s="60">
        <v>0</v>
      </c>
    </row>
    <row r="357" spans="1:4" x14ac:dyDescent="0.25">
      <c r="A357" s="60">
        <v>540</v>
      </c>
      <c r="B357" s="60" t="s">
        <v>119</v>
      </c>
      <c r="C357" s="60">
        <v>1000</v>
      </c>
      <c r="D357" s="60">
        <v>0</v>
      </c>
    </row>
    <row r="358" spans="1:4" x14ac:dyDescent="0.25">
      <c r="A358" s="60">
        <v>540</v>
      </c>
      <c r="B358" s="60" t="s">
        <v>119</v>
      </c>
      <c r="C358" s="60">
        <v>1098</v>
      </c>
      <c r="D358" s="60">
        <v>0</v>
      </c>
    </row>
    <row r="359" spans="1:4" x14ac:dyDescent="0.25">
      <c r="A359" s="60">
        <v>541</v>
      </c>
      <c r="B359" s="60" t="s">
        <v>119</v>
      </c>
      <c r="C359" s="60">
        <v>1000</v>
      </c>
      <c r="D359" s="60">
        <v>0</v>
      </c>
    </row>
    <row r="360" spans="1:4" x14ac:dyDescent="0.25">
      <c r="A360" s="60">
        <v>542</v>
      </c>
      <c r="B360" s="60" t="s">
        <v>119</v>
      </c>
      <c r="C360" s="60">
        <v>1000</v>
      </c>
      <c r="D360" s="60">
        <v>0</v>
      </c>
    </row>
    <row r="361" spans="1:4" x14ac:dyDescent="0.25">
      <c r="A361" s="60">
        <v>543</v>
      </c>
      <c r="B361" s="60" t="s">
        <v>119</v>
      </c>
      <c r="C361" s="60">
        <v>1000</v>
      </c>
      <c r="D361" s="60">
        <v>0</v>
      </c>
    </row>
    <row r="362" spans="1:4" x14ac:dyDescent="0.25">
      <c r="A362" s="60">
        <v>543</v>
      </c>
      <c r="B362" s="60" t="s">
        <v>119</v>
      </c>
      <c r="C362" s="60">
        <v>1098</v>
      </c>
      <c r="D362" s="60">
        <v>0</v>
      </c>
    </row>
    <row r="363" spans="1:4" x14ac:dyDescent="0.25">
      <c r="A363" s="60">
        <v>544</v>
      </c>
      <c r="B363" s="60" t="s">
        <v>119</v>
      </c>
      <c r="C363" s="60">
        <v>1000</v>
      </c>
      <c r="D363" s="60">
        <v>0</v>
      </c>
    </row>
    <row r="364" spans="1:4" x14ac:dyDescent="0.25">
      <c r="A364" s="60">
        <v>545</v>
      </c>
      <c r="B364" s="60" t="s">
        <v>119</v>
      </c>
      <c r="C364" s="60">
        <v>1000</v>
      </c>
      <c r="D364" s="60">
        <v>0</v>
      </c>
    </row>
    <row r="365" spans="1:4" x14ac:dyDescent="0.25">
      <c r="A365" s="60">
        <v>545</v>
      </c>
      <c r="B365" s="60" t="s">
        <v>119</v>
      </c>
      <c r="C365" s="60">
        <v>1080</v>
      </c>
      <c r="D365" s="60">
        <v>0</v>
      </c>
    </row>
    <row r="366" spans="1:4" x14ac:dyDescent="0.25">
      <c r="A366" s="60">
        <v>546</v>
      </c>
      <c r="B366" s="60" t="s">
        <v>119</v>
      </c>
      <c r="C366" s="60">
        <v>1000</v>
      </c>
      <c r="D366" s="60">
        <v>0</v>
      </c>
    </row>
    <row r="367" spans="1:4" x14ac:dyDescent="0.25">
      <c r="A367" s="60">
        <v>547</v>
      </c>
      <c r="B367" s="60" t="s">
        <v>119</v>
      </c>
      <c r="C367" s="60">
        <v>1000</v>
      </c>
      <c r="D367" s="60">
        <v>187617</v>
      </c>
    </row>
    <row r="368" spans="1:4" x14ac:dyDescent="0.25">
      <c r="A368" s="60">
        <v>547</v>
      </c>
      <c r="B368" s="60" t="s">
        <v>119</v>
      </c>
      <c r="C368" s="60">
        <v>1080</v>
      </c>
      <c r="D368" s="60">
        <v>0</v>
      </c>
    </row>
    <row r="369" spans="1:7" x14ac:dyDescent="0.25">
      <c r="A369" s="60">
        <v>548</v>
      </c>
      <c r="B369" s="60" t="s">
        <v>119</v>
      </c>
      <c r="C369" s="60">
        <v>1000</v>
      </c>
      <c r="D369" s="60">
        <v>7030</v>
      </c>
    </row>
    <row r="370" spans="1:7" x14ac:dyDescent="0.25">
      <c r="A370" s="60">
        <v>550</v>
      </c>
      <c r="B370" s="60" t="s">
        <v>119</v>
      </c>
      <c r="C370" s="60">
        <v>1000</v>
      </c>
      <c r="D370" s="60">
        <v>0</v>
      </c>
    </row>
    <row r="371" spans="1:7" x14ac:dyDescent="0.25">
      <c r="A371" s="60">
        <v>551</v>
      </c>
      <c r="B371" s="60" t="s">
        <v>119</v>
      </c>
      <c r="C371" s="60">
        <v>1000</v>
      </c>
      <c r="D371" s="60">
        <v>177544</v>
      </c>
    </row>
    <row r="372" spans="1:7" x14ac:dyDescent="0.25">
      <c r="A372" s="60">
        <v>560</v>
      </c>
      <c r="B372" s="60" t="s">
        <v>119</v>
      </c>
      <c r="C372" s="60">
        <v>1000</v>
      </c>
      <c r="D372" s="60">
        <v>0</v>
      </c>
    </row>
    <row r="373" spans="1:7" x14ac:dyDescent="0.25">
      <c r="A373" s="60">
        <v>560</v>
      </c>
      <c r="B373" s="60" t="s">
        <v>119</v>
      </c>
      <c r="C373" s="60">
        <v>1080</v>
      </c>
      <c r="D373" s="60">
        <v>0</v>
      </c>
    </row>
    <row r="374" spans="1:7" x14ac:dyDescent="0.25">
      <c r="A374" s="60">
        <v>571</v>
      </c>
      <c r="B374" s="60" t="s">
        <v>119</v>
      </c>
      <c r="C374" s="60">
        <v>1000</v>
      </c>
      <c r="D374" s="60">
        <v>0</v>
      </c>
    </row>
    <row r="375" spans="1:7" x14ac:dyDescent="0.25">
      <c r="A375" s="60">
        <v>601</v>
      </c>
      <c r="B375" s="60" t="s">
        <v>119</v>
      </c>
      <c r="C375" s="60">
        <v>1000</v>
      </c>
      <c r="D375" s="60">
        <v>0</v>
      </c>
    </row>
    <row r="376" spans="1:7" x14ac:dyDescent="0.25">
      <c r="A376" s="60">
        <v>602</v>
      </c>
      <c r="B376" s="60" t="s">
        <v>119</v>
      </c>
      <c r="C376" s="60">
        <v>1000</v>
      </c>
      <c r="D376" s="60">
        <v>0</v>
      </c>
    </row>
    <row r="377" spans="1:7" x14ac:dyDescent="0.25">
      <c r="A377" s="60">
        <v>605</v>
      </c>
      <c r="B377" s="60" t="s">
        <v>119</v>
      </c>
      <c r="C377" s="60">
        <v>1000</v>
      </c>
      <c r="D377" s="60">
        <v>0</v>
      </c>
      <c r="E377" s="60" t="s">
        <v>126</v>
      </c>
      <c r="F377" s="60" t="s">
        <v>127</v>
      </c>
      <c r="G377" s="60" t="s">
        <v>124</v>
      </c>
    </row>
    <row r="378" spans="1:7" x14ac:dyDescent="0.25">
      <c r="A378" s="60">
        <v>954</v>
      </c>
      <c r="B378" s="60" t="s">
        <v>119</v>
      </c>
      <c r="C378" s="60">
        <v>1000</v>
      </c>
      <c r="D378" s="60">
        <v>0</v>
      </c>
      <c r="E378" s="60">
        <f>IF(C566&lt;100,D566,D566*-1)</f>
        <v>0</v>
      </c>
      <c r="F378" s="69" t="s">
        <v>123</v>
      </c>
      <c r="G378" s="69" t="s">
        <v>117</v>
      </c>
    </row>
    <row r="379" spans="1:7" x14ac:dyDescent="0.25">
      <c r="A379" s="60">
        <v>964</v>
      </c>
      <c r="B379" s="60" t="s">
        <v>119</v>
      </c>
      <c r="C379" s="60">
        <v>1000</v>
      </c>
      <c r="D379" s="60">
        <v>0</v>
      </c>
      <c r="E379" s="60" t="e">
        <f>#N/A</f>
        <v>#N/A</v>
      </c>
      <c r="F379" s="69">
        <v>1</v>
      </c>
      <c r="G379" s="70">
        <v>0</v>
      </c>
    </row>
    <row r="380" spans="1:7" x14ac:dyDescent="0.25">
      <c r="A380" s="60">
        <v>964</v>
      </c>
      <c r="B380" s="60" t="s">
        <v>119</v>
      </c>
      <c r="C380" s="60">
        <v>1080</v>
      </c>
      <c r="D380" s="60">
        <v>0</v>
      </c>
      <c r="E380" s="60" t="e">
        <f>#N/A</f>
        <v>#N/A</v>
      </c>
      <c r="F380" s="71">
        <v>9</v>
      </c>
      <c r="G380" s="72"/>
    </row>
    <row r="381" spans="1:7" x14ac:dyDescent="0.25">
      <c r="A381" s="60">
        <v>997</v>
      </c>
      <c r="B381" s="60" t="s">
        <v>119</v>
      </c>
      <c r="C381" s="60">
        <v>1000</v>
      </c>
      <c r="D381" s="60">
        <v>0</v>
      </c>
      <c r="E381" s="60" t="e">
        <f>#N/A</f>
        <v>#N/A</v>
      </c>
      <c r="F381" s="71">
        <v>10</v>
      </c>
      <c r="G381" s="72"/>
    </row>
    <row r="382" spans="1:7" x14ac:dyDescent="0.25">
      <c r="A382" s="60">
        <v>1</v>
      </c>
      <c r="B382" s="60" t="s">
        <v>120</v>
      </c>
      <c r="C382" s="60">
        <v>1000</v>
      </c>
      <c r="D382" s="60">
        <v>15296400</v>
      </c>
      <c r="E382" s="60" t="e">
        <f>#N/A</f>
        <v>#N/A</v>
      </c>
      <c r="F382" s="71">
        <v>11</v>
      </c>
      <c r="G382" s="72">
        <v>28229048</v>
      </c>
    </row>
    <row r="383" spans="1:7" x14ac:dyDescent="0.25">
      <c r="A383" s="60">
        <v>1</v>
      </c>
      <c r="B383" s="60" t="s">
        <v>120</v>
      </c>
      <c r="C383" s="60">
        <v>1010</v>
      </c>
      <c r="D383" s="60">
        <v>0</v>
      </c>
      <c r="E383" s="60" t="e">
        <f>#N/A</f>
        <v>#N/A</v>
      </c>
      <c r="F383" s="71">
        <v>21</v>
      </c>
      <c r="G383" s="72">
        <v>14044923</v>
      </c>
    </row>
    <row r="384" spans="1:7" x14ac:dyDescent="0.25">
      <c r="A384" s="60">
        <v>1</v>
      </c>
      <c r="B384" s="60" t="s">
        <v>120</v>
      </c>
      <c r="C384" s="60">
        <v>1080</v>
      </c>
      <c r="D384" s="60">
        <v>130480000</v>
      </c>
      <c r="E384" s="60" t="e">
        <f>#N/A</f>
        <v>#N/A</v>
      </c>
      <c r="F384" s="71">
        <v>31</v>
      </c>
      <c r="G384" s="72">
        <v>15188591</v>
      </c>
    </row>
    <row r="385" spans="1:7" x14ac:dyDescent="0.25">
      <c r="A385" s="60">
        <v>1</v>
      </c>
      <c r="B385" s="60" t="s">
        <v>120</v>
      </c>
      <c r="C385" s="60">
        <v>1098</v>
      </c>
      <c r="D385" s="60">
        <v>0</v>
      </c>
      <c r="E385" s="60" t="e">
        <f>#N/A</f>
        <v>#N/A</v>
      </c>
      <c r="F385" s="71">
        <v>41</v>
      </c>
      <c r="G385" s="72">
        <v>0</v>
      </c>
    </row>
    <row r="386" spans="1:7" x14ac:dyDescent="0.25">
      <c r="A386" s="60">
        <v>10</v>
      </c>
      <c r="B386" s="60" t="s">
        <v>120</v>
      </c>
      <c r="C386" s="60">
        <v>1000</v>
      </c>
      <c r="D386" s="60">
        <v>0</v>
      </c>
      <c r="E386" s="60" t="e">
        <f>#N/A</f>
        <v>#N/A</v>
      </c>
      <c r="F386" s="71">
        <v>61</v>
      </c>
      <c r="G386" s="72">
        <v>30082015</v>
      </c>
    </row>
    <row r="387" spans="1:7" x14ac:dyDescent="0.25">
      <c r="A387" s="60">
        <v>11</v>
      </c>
      <c r="B387" s="60" t="s">
        <v>120</v>
      </c>
      <c r="C387" s="60">
        <v>1000</v>
      </c>
      <c r="D387" s="60">
        <v>372320</v>
      </c>
      <c r="E387" s="60" t="e">
        <f>#N/A</f>
        <v>#N/A</v>
      </c>
      <c r="F387" s="71">
        <v>71</v>
      </c>
      <c r="G387" s="72">
        <v>15236417</v>
      </c>
    </row>
    <row r="388" spans="1:7" x14ac:dyDescent="0.25">
      <c r="A388" s="60">
        <v>11</v>
      </c>
      <c r="B388" s="60" t="s">
        <v>120</v>
      </c>
      <c r="C388" s="60">
        <v>1080</v>
      </c>
      <c r="D388" s="60">
        <v>0</v>
      </c>
      <c r="E388" s="60" t="e">
        <f>#N/A</f>
        <v>#N/A</v>
      </c>
      <c r="F388" s="71">
        <v>81</v>
      </c>
      <c r="G388" s="72">
        <v>9875582</v>
      </c>
    </row>
    <row r="389" spans="1:7" x14ac:dyDescent="0.25">
      <c r="A389" s="60">
        <v>11</v>
      </c>
      <c r="B389" s="60" t="s">
        <v>120</v>
      </c>
      <c r="C389" s="60">
        <v>1098</v>
      </c>
      <c r="D389" s="60">
        <v>0</v>
      </c>
      <c r="E389" s="60" t="e">
        <f>#N/A</f>
        <v>#N/A</v>
      </c>
      <c r="F389" s="71">
        <v>91</v>
      </c>
      <c r="G389" s="72">
        <v>18420952</v>
      </c>
    </row>
    <row r="390" spans="1:7" x14ac:dyDescent="0.25">
      <c r="A390" s="60">
        <v>21</v>
      </c>
      <c r="B390" s="60" t="s">
        <v>120</v>
      </c>
      <c r="C390" s="60">
        <v>1000</v>
      </c>
      <c r="D390" s="60">
        <v>0</v>
      </c>
      <c r="E390" s="60" t="e">
        <f>#N/A</f>
        <v>#N/A</v>
      </c>
      <c r="F390" s="71">
        <v>101</v>
      </c>
      <c r="G390" s="72">
        <v>13341041</v>
      </c>
    </row>
    <row r="391" spans="1:7" x14ac:dyDescent="0.25">
      <c r="A391" s="60">
        <v>21</v>
      </c>
      <c r="B391" s="60" t="s">
        <v>120</v>
      </c>
      <c r="C391" s="60">
        <v>1010</v>
      </c>
      <c r="D391" s="60">
        <v>0</v>
      </c>
      <c r="E391" s="60" t="e">
        <f>#N/A</f>
        <v>#N/A</v>
      </c>
      <c r="F391" s="71">
        <v>111</v>
      </c>
      <c r="G391" s="72">
        <v>9989886</v>
      </c>
    </row>
    <row r="392" spans="1:7" x14ac:dyDescent="0.25">
      <c r="A392" s="60">
        <v>21</v>
      </c>
      <c r="B392" s="60" t="s">
        <v>120</v>
      </c>
      <c r="C392" s="60">
        <v>1098</v>
      </c>
      <c r="D392" s="60">
        <v>0</v>
      </c>
      <c r="E392" s="60" t="e">
        <f>#N/A</f>
        <v>#N/A</v>
      </c>
      <c r="F392" s="71">
        <v>121</v>
      </c>
      <c r="G392" s="72">
        <v>7552080</v>
      </c>
    </row>
    <row r="393" spans="1:7" x14ac:dyDescent="0.25">
      <c r="A393" s="60">
        <v>31</v>
      </c>
      <c r="B393" s="60" t="s">
        <v>120</v>
      </c>
      <c r="C393" s="60">
        <v>1000</v>
      </c>
      <c r="D393" s="60">
        <v>0</v>
      </c>
    </row>
    <row r="394" spans="1:7" x14ac:dyDescent="0.25">
      <c r="A394" s="60">
        <v>31</v>
      </c>
      <c r="B394" s="60" t="s">
        <v>120</v>
      </c>
      <c r="C394" s="60">
        <v>1010</v>
      </c>
      <c r="D394" s="60">
        <v>0</v>
      </c>
    </row>
    <row r="395" spans="1:7" x14ac:dyDescent="0.25">
      <c r="A395" s="60">
        <v>31</v>
      </c>
      <c r="B395" s="60" t="s">
        <v>120</v>
      </c>
      <c r="C395" s="60">
        <v>1080</v>
      </c>
      <c r="D395" s="60">
        <v>0</v>
      </c>
    </row>
    <row r="396" spans="1:7" x14ac:dyDescent="0.25">
      <c r="A396" s="60">
        <v>31</v>
      </c>
      <c r="B396" s="60" t="s">
        <v>120</v>
      </c>
      <c r="C396" s="60">
        <v>1098</v>
      </c>
      <c r="D396" s="60">
        <v>0</v>
      </c>
    </row>
    <row r="397" spans="1:7" x14ac:dyDescent="0.25">
      <c r="A397" s="60">
        <v>41</v>
      </c>
      <c r="B397" s="60" t="s">
        <v>120</v>
      </c>
      <c r="C397" s="60">
        <v>1000</v>
      </c>
      <c r="D397" s="60">
        <v>0</v>
      </c>
    </row>
    <row r="398" spans="1:7" x14ac:dyDescent="0.25">
      <c r="A398" s="60">
        <v>61</v>
      </c>
      <c r="B398" s="60" t="s">
        <v>120</v>
      </c>
      <c r="C398" s="60">
        <v>1000</v>
      </c>
      <c r="D398" s="60">
        <v>-45431</v>
      </c>
    </row>
    <row r="399" spans="1:7" x14ac:dyDescent="0.25">
      <c r="A399" s="60">
        <v>61</v>
      </c>
      <c r="B399" s="60" t="s">
        <v>120</v>
      </c>
      <c r="C399" s="60">
        <v>1098</v>
      </c>
      <c r="D399" s="60">
        <v>0</v>
      </c>
    </row>
    <row r="400" spans="1:7" x14ac:dyDescent="0.25">
      <c r="A400" s="60">
        <v>71</v>
      </c>
      <c r="B400" s="60" t="s">
        <v>120</v>
      </c>
      <c r="C400" s="60">
        <v>1000</v>
      </c>
      <c r="D400" s="60">
        <v>1654420</v>
      </c>
    </row>
    <row r="401" spans="1:4" x14ac:dyDescent="0.25">
      <c r="A401" s="60">
        <v>71</v>
      </c>
      <c r="B401" s="60" t="s">
        <v>120</v>
      </c>
      <c r="C401" s="60">
        <v>1080</v>
      </c>
      <c r="D401" s="60">
        <v>0</v>
      </c>
    </row>
    <row r="402" spans="1:4" x14ac:dyDescent="0.25">
      <c r="A402" s="60">
        <v>71</v>
      </c>
      <c r="B402" s="60" t="s">
        <v>120</v>
      </c>
      <c r="C402" s="60">
        <v>1098</v>
      </c>
      <c r="D402" s="60">
        <v>0</v>
      </c>
    </row>
    <row r="403" spans="1:4" x14ac:dyDescent="0.25">
      <c r="A403" s="60">
        <v>91</v>
      </c>
      <c r="B403" s="60" t="s">
        <v>120</v>
      </c>
      <c r="C403" s="60">
        <v>1000</v>
      </c>
      <c r="D403" s="60">
        <v>0</v>
      </c>
    </row>
    <row r="404" spans="1:4" x14ac:dyDescent="0.25">
      <c r="A404" s="60">
        <v>91</v>
      </c>
      <c r="B404" s="60" t="s">
        <v>120</v>
      </c>
      <c r="C404" s="60">
        <v>1098</v>
      </c>
      <c r="D404" s="60">
        <v>0</v>
      </c>
    </row>
    <row r="405" spans="1:4" x14ac:dyDescent="0.25">
      <c r="A405" s="60">
        <v>101</v>
      </c>
      <c r="B405" s="60" t="s">
        <v>120</v>
      </c>
      <c r="C405" s="60">
        <v>1000</v>
      </c>
      <c r="D405" s="60">
        <v>0</v>
      </c>
    </row>
    <row r="406" spans="1:4" x14ac:dyDescent="0.25">
      <c r="A406" s="60">
        <v>101</v>
      </c>
      <c r="B406" s="60" t="s">
        <v>120</v>
      </c>
      <c r="C406" s="60">
        <v>1098</v>
      </c>
      <c r="D406" s="60">
        <v>0</v>
      </c>
    </row>
    <row r="407" spans="1:4" x14ac:dyDescent="0.25">
      <c r="A407" s="60">
        <v>111</v>
      </c>
      <c r="B407" s="60" t="s">
        <v>120</v>
      </c>
      <c r="C407" s="60">
        <v>1000</v>
      </c>
      <c r="D407" s="60">
        <v>3957180</v>
      </c>
    </row>
    <row r="408" spans="1:4" x14ac:dyDescent="0.25">
      <c r="A408" s="60">
        <v>111</v>
      </c>
      <c r="B408" s="60" t="s">
        <v>120</v>
      </c>
      <c r="C408" s="60">
        <v>1080</v>
      </c>
      <c r="D408" s="60">
        <v>0</v>
      </c>
    </row>
    <row r="409" spans="1:4" x14ac:dyDescent="0.25">
      <c r="A409" s="60">
        <v>111</v>
      </c>
      <c r="B409" s="60" t="s">
        <v>120</v>
      </c>
      <c r="C409" s="60">
        <v>1098</v>
      </c>
      <c r="D409" s="60">
        <v>0</v>
      </c>
    </row>
    <row r="410" spans="1:4" x14ac:dyDescent="0.25">
      <c r="A410" s="60">
        <v>121</v>
      </c>
      <c r="B410" s="60" t="s">
        <v>120</v>
      </c>
      <c r="C410" s="60">
        <v>1000</v>
      </c>
      <c r="D410" s="60">
        <v>0</v>
      </c>
    </row>
    <row r="411" spans="1:4" x14ac:dyDescent="0.25">
      <c r="A411" s="60">
        <v>121</v>
      </c>
      <c r="B411" s="60" t="s">
        <v>120</v>
      </c>
      <c r="C411" s="60">
        <v>1098</v>
      </c>
      <c r="D411" s="60">
        <v>0</v>
      </c>
    </row>
    <row r="412" spans="1:4" x14ac:dyDescent="0.25">
      <c r="A412" s="60">
        <v>131</v>
      </c>
      <c r="B412" s="60" t="s">
        <v>120</v>
      </c>
      <c r="C412" s="60">
        <v>1000</v>
      </c>
      <c r="D412" s="60">
        <v>0</v>
      </c>
    </row>
    <row r="413" spans="1:4" x14ac:dyDescent="0.25">
      <c r="A413" s="60">
        <v>151</v>
      </c>
      <c r="B413" s="60" t="s">
        <v>120</v>
      </c>
      <c r="C413" s="60">
        <v>1000</v>
      </c>
      <c r="D413" s="60">
        <v>0</v>
      </c>
    </row>
    <row r="414" spans="1:4" x14ac:dyDescent="0.25">
      <c r="A414" s="60">
        <v>151</v>
      </c>
      <c r="B414" s="60" t="s">
        <v>120</v>
      </c>
      <c r="C414" s="60">
        <v>1098</v>
      </c>
      <c r="D414" s="60">
        <v>0</v>
      </c>
    </row>
    <row r="415" spans="1:4" x14ac:dyDescent="0.25">
      <c r="A415" s="60">
        <v>161</v>
      </c>
      <c r="B415" s="60" t="s">
        <v>120</v>
      </c>
      <c r="C415" s="60">
        <v>1000</v>
      </c>
      <c r="D415" s="60">
        <v>0</v>
      </c>
    </row>
    <row r="416" spans="1:4" x14ac:dyDescent="0.25">
      <c r="A416" s="60">
        <v>171</v>
      </c>
      <c r="B416" s="60" t="s">
        <v>120</v>
      </c>
      <c r="C416" s="60">
        <v>1000</v>
      </c>
      <c r="D416" s="60">
        <v>0</v>
      </c>
    </row>
    <row r="417" spans="1:4" x14ac:dyDescent="0.25">
      <c r="A417" s="60">
        <v>181</v>
      </c>
      <c r="B417" s="60" t="s">
        <v>120</v>
      </c>
      <c r="C417" s="60">
        <v>1000</v>
      </c>
      <c r="D417" s="60">
        <v>0</v>
      </c>
    </row>
    <row r="418" spans="1:4" x14ac:dyDescent="0.25">
      <c r="A418" s="60">
        <v>182</v>
      </c>
      <c r="B418" s="60" t="s">
        <v>120</v>
      </c>
      <c r="C418" s="60">
        <v>1000</v>
      </c>
      <c r="D418" s="60">
        <v>0</v>
      </c>
    </row>
    <row r="419" spans="1:4" x14ac:dyDescent="0.25">
      <c r="A419" s="60">
        <v>182</v>
      </c>
      <c r="B419" s="60" t="s">
        <v>120</v>
      </c>
      <c r="C419" s="60">
        <v>1098</v>
      </c>
      <c r="D419" s="60">
        <v>0</v>
      </c>
    </row>
    <row r="420" spans="1:4" x14ac:dyDescent="0.25">
      <c r="A420" s="60">
        <v>183</v>
      </c>
      <c r="B420" s="60" t="s">
        <v>120</v>
      </c>
      <c r="C420" s="60">
        <v>1000</v>
      </c>
      <c r="D420" s="60">
        <v>0</v>
      </c>
    </row>
    <row r="421" spans="1:4" x14ac:dyDescent="0.25">
      <c r="A421" s="60">
        <v>183</v>
      </c>
      <c r="B421" s="60" t="s">
        <v>120</v>
      </c>
      <c r="C421" s="60">
        <v>1080</v>
      </c>
      <c r="D421" s="60">
        <v>0</v>
      </c>
    </row>
    <row r="422" spans="1:4" x14ac:dyDescent="0.25">
      <c r="A422" s="60">
        <v>183</v>
      </c>
      <c r="B422" s="60" t="s">
        <v>120</v>
      </c>
      <c r="C422" s="60">
        <v>1098</v>
      </c>
      <c r="D422" s="60">
        <v>0</v>
      </c>
    </row>
    <row r="423" spans="1:4" x14ac:dyDescent="0.25">
      <c r="A423" s="60">
        <v>185</v>
      </c>
      <c r="B423" s="60" t="s">
        <v>120</v>
      </c>
      <c r="C423" s="60">
        <v>1000</v>
      </c>
      <c r="D423" s="60">
        <v>0</v>
      </c>
    </row>
    <row r="424" spans="1:4" x14ac:dyDescent="0.25">
      <c r="A424" s="60">
        <v>187</v>
      </c>
      <c r="B424" s="60" t="s">
        <v>120</v>
      </c>
      <c r="C424" s="60">
        <v>1000</v>
      </c>
      <c r="D424" s="60">
        <v>0</v>
      </c>
    </row>
    <row r="425" spans="1:4" x14ac:dyDescent="0.25">
      <c r="A425" s="60">
        <v>187</v>
      </c>
      <c r="B425" s="60" t="s">
        <v>120</v>
      </c>
      <c r="C425" s="60">
        <v>1080</v>
      </c>
      <c r="D425" s="60">
        <v>0</v>
      </c>
    </row>
    <row r="426" spans="1:4" x14ac:dyDescent="0.25">
      <c r="A426" s="60">
        <v>190</v>
      </c>
      <c r="B426" s="60" t="s">
        <v>120</v>
      </c>
      <c r="C426" s="60">
        <v>1000</v>
      </c>
      <c r="D426" s="60">
        <v>0</v>
      </c>
    </row>
    <row r="427" spans="1:4" x14ac:dyDescent="0.25">
      <c r="A427" s="60">
        <v>191</v>
      </c>
      <c r="B427" s="60" t="s">
        <v>120</v>
      </c>
      <c r="C427" s="60">
        <v>1000</v>
      </c>
      <c r="D427" s="60">
        <v>0</v>
      </c>
    </row>
    <row r="428" spans="1:4" x14ac:dyDescent="0.25">
      <c r="A428" s="60">
        <v>191</v>
      </c>
      <c r="B428" s="60" t="s">
        <v>120</v>
      </c>
      <c r="C428" s="60">
        <v>1098</v>
      </c>
      <c r="D428" s="60">
        <v>0</v>
      </c>
    </row>
    <row r="429" spans="1:4" x14ac:dyDescent="0.25">
      <c r="A429" s="60">
        <v>192</v>
      </c>
      <c r="B429" s="60" t="s">
        <v>120</v>
      </c>
      <c r="C429" s="60">
        <v>1000</v>
      </c>
      <c r="D429" s="60">
        <v>0</v>
      </c>
    </row>
    <row r="430" spans="1:4" x14ac:dyDescent="0.25">
      <c r="A430" s="60">
        <v>192</v>
      </c>
      <c r="B430" s="60" t="s">
        <v>120</v>
      </c>
      <c r="C430" s="60">
        <v>1098</v>
      </c>
      <c r="D430" s="60">
        <v>0</v>
      </c>
    </row>
    <row r="431" spans="1:4" x14ac:dyDescent="0.25">
      <c r="A431" s="60">
        <v>193</v>
      </c>
      <c r="B431" s="60" t="s">
        <v>120</v>
      </c>
      <c r="C431" s="60">
        <v>1000</v>
      </c>
      <c r="D431" s="60">
        <v>3360</v>
      </c>
    </row>
    <row r="432" spans="1:4" x14ac:dyDescent="0.25">
      <c r="A432" s="60">
        <v>193</v>
      </c>
      <c r="B432" s="60" t="s">
        <v>120</v>
      </c>
      <c r="C432" s="60">
        <v>1098</v>
      </c>
      <c r="D432" s="60">
        <v>0</v>
      </c>
    </row>
    <row r="433" spans="1:4" x14ac:dyDescent="0.25">
      <c r="A433" s="60">
        <v>194</v>
      </c>
      <c r="B433" s="60" t="s">
        <v>120</v>
      </c>
      <c r="C433" s="60">
        <v>1000</v>
      </c>
      <c r="D433" s="60">
        <v>0</v>
      </c>
    </row>
    <row r="434" spans="1:4" x14ac:dyDescent="0.25">
      <c r="A434" s="60">
        <v>195</v>
      </c>
      <c r="B434" s="60" t="s">
        <v>120</v>
      </c>
      <c r="C434" s="60">
        <v>1000</v>
      </c>
      <c r="D434" s="60">
        <v>0</v>
      </c>
    </row>
    <row r="435" spans="1:4" x14ac:dyDescent="0.25">
      <c r="A435" s="60">
        <v>195</v>
      </c>
      <c r="B435" s="60" t="s">
        <v>120</v>
      </c>
      <c r="C435" s="60">
        <v>1098</v>
      </c>
      <c r="D435" s="60">
        <v>0</v>
      </c>
    </row>
    <row r="436" spans="1:4" x14ac:dyDescent="0.25">
      <c r="A436" s="60">
        <v>196</v>
      </c>
      <c r="B436" s="60" t="s">
        <v>120</v>
      </c>
      <c r="C436" s="60">
        <v>1000</v>
      </c>
      <c r="D436" s="60">
        <v>0</v>
      </c>
    </row>
    <row r="437" spans="1:4" x14ac:dyDescent="0.25">
      <c r="A437" s="60">
        <v>205</v>
      </c>
      <c r="B437" s="60" t="s">
        <v>120</v>
      </c>
      <c r="C437" s="60">
        <v>1000</v>
      </c>
      <c r="D437" s="60">
        <v>0</v>
      </c>
    </row>
    <row r="438" spans="1:4" x14ac:dyDescent="0.25">
      <c r="A438" s="60">
        <v>205</v>
      </c>
      <c r="B438" s="60" t="s">
        <v>120</v>
      </c>
      <c r="C438" s="60">
        <v>1080</v>
      </c>
      <c r="D438" s="60">
        <v>0</v>
      </c>
    </row>
    <row r="439" spans="1:4" x14ac:dyDescent="0.25">
      <c r="A439" s="60">
        <v>205</v>
      </c>
      <c r="B439" s="60" t="s">
        <v>120</v>
      </c>
      <c r="C439" s="60">
        <v>1098</v>
      </c>
      <c r="D439" s="60">
        <v>0</v>
      </c>
    </row>
    <row r="440" spans="1:4" x14ac:dyDescent="0.25">
      <c r="A440" s="60">
        <v>212</v>
      </c>
      <c r="B440" s="60" t="s">
        <v>120</v>
      </c>
      <c r="C440" s="60">
        <v>1000</v>
      </c>
      <c r="D440" s="60">
        <v>0</v>
      </c>
    </row>
    <row r="441" spans="1:4" x14ac:dyDescent="0.25">
      <c r="A441" s="60">
        <v>212</v>
      </c>
      <c r="B441" s="60" t="s">
        <v>120</v>
      </c>
      <c r="C441" s="60">
        <v>1098</v>
      </c>
      <c r="D441" s="60">
        <v>0</v>
      </c>
    </row>
    <row r="442" spans="1:4" x14ac:dyDescent="0.25">
      <c r="A442" s="60">
        <v>215</v>
      </c>
      <c r="B442" s="60" t="s">
        <v>120</v>
      </c>
      <c r="C442" s="60">
        <v>1000</v>
      </c>
      <c r="D442" s="60">
        <v>0</v>
      </c>
    </row>
    <row r="443" spans="1:4" x14ac:dyDescent="0.25">
      <c r="A443" s="60">
        <v>222</v>
      </c>
      <c r="B443" s="60" t="s">
        <v>120</v>
      </c>
      <c r="C443" s="60">
        <v>1000</v>
      </c>
      <c r="D443" s="60">
        <v>0</v>
      </c>
    </row>
    <row r="444" spans="1:4" x14ac:dyDescent="0.25">
      <c r="A444" s="60">
        <v>222</v>
      </c>
      <c r="B444" s="60" t="s">
        <v>120</v>
      </c>
      <c r="C444" s="60">
        <v>1080</v>
      </c>
      <c r="D444" s="60">
        <v>0</v>
      </c>
    </row>
    <row r="445" spans="1:4" x14ac:dyDescent="0.25">
      <c r="A445" s="60">
        <v>222</v>
      </c>
      <c r="B445" s="60" t="s">
        <v>120</v>
      </c>
      <c r="C445" s="60">
        <v>1098</v>
      </c>
      <c r="D445" s="60">
        <v>0</v>
      </c>
    </row>
    <row r="446" spans="1:4" x14ac:dyDescent="0.25">
      <c r="A446" s="60">
        <v>242</v>
      </c>
      <c r="B446" s="60" t="s">
        <v>120</v>
      </c>
      <c r="C446" s="60">
        <v>1000</v>
      </c>
      <c r="D446" s="60">
        <v>515300</v>
      </c>
    </row>
    <row r="447" spans="1:4" x14ac:dyDescent="0.25">
      <c r="A447" s="60">
        <v>242</v>
      </c>
      <c r="B447" s="60" t="s">
        <v>120</v>
      </c>
      <c r="C447" s="60">
        <v>1098</v>
      </c>
      <c r="D447" s="60">
        <v>0</v>
      </c>
    </row>
    <row r="448" spans="1:4" x14ac:dyDescent="0.25">
      <c r="A448" s="60">
        <v>245</v>
      </c>
      <c r="B448" s="60" t="s">
        <v>120</v>
      </c>
      <c r="C448" s="60">
        <v>1000</v>
      </c>
      <c r="D448" s="60">
        <v>0</v>
      </c>
    </row>
    <row r="449" spans="1:4" x14ac:dyDescent="0.25">
      <c r="A449" s="60">
        <v>252</v>
      </c>
      <c r="B449" s="60" t="s">
        <v>120</v>
      </c>
      <c r="C449" s="60">
        <v>1000</v>
      </c>
      <c r="D449" s="60">
        <v>0</v>
      </c>
    </row>
    <row r="450" spans="1:4" x14ac:dyDescent="0.25">
      <c r="A450" s="60">
        <v>252</v>
      </c>
      <c r="B450" s="60" t="s">
        <v>120</v>
      </c>
      <c r="C450" s="60">
        <v>1098</v>
      </c>
      <c r="D450" s="60">
        <v>0</v>
      </c>
    </row>
    <row r="451" spans="1:4" x14ac:dyDescent="0.25">
      <c r="A451" s="60">
        <v>262</v>
      </c>
      <c r="B451" s="60" t="s">
        <v>120</v>
      </c>
      <c r="C451" s="60">
        <v>1000</v>
      </c>
      <c r="D451" s="60">
        <v>0</v>
      </c>
    </row>
    <row r="452" spans="1:4" x14ac:dyDescent="0.25">
      <c r="A452" s="60">
        <v>262</v>
      </c>
      <c r="B452" s="60" t="s">
        <v>120</v>
      </c>
      <c r="C452" s="60">
        <v>1098</v>
      </c>
      <c r="D452" s="60">
        <v>0</v>
      </c>
    </row>
    <row r="453" spans="1:4" x14ac:dyDescent="0.25">
      <c r="A453" s="60">
        <v>272</v>
      </c>
      <c r="B453" s="60" t="s">
        <v>120</v>
      </c>
      <c r="C453" s="60">
        <v>1000</v>
      </c>
      <c r="D453" s="60">
        <v>16800</v>
      </c>
    </row>
    <row r="454" spans="1:4" x14ac:dyDescent="0.25">
      <c r="A454" s="60">
        <v>272</v>
      </c>
      <c r="B454" s="60" t="s">
        <v>120</v>
      </c>
      <c r="C454" s="60">
        <v>1080</v>
      </c>
      <c r="D454" s="60">
        <v>0</v>
      </c>
    </row>
    <row r="455" spans="1:4" x14ac:dyDescent="0.25">
      <c r="A455" s="60">
        <v>272</v>
      </c>
      <c r="B455" s="60" t="s">
        <v>120</v>
      </c>
      <c r="C455" s="60">
        <v>1098</v>
      </c>
      <c r="D455" s="60">
        <v>0</v>
      </c>
    </row>
    <row r="456" spans="1:4" x14ac:dyDescent="0.25">
      <c r="A456" s="60">
        <v>291</v>
      </c>
      <c r="B456" s="60" t="s">
        <v>120</v>
      </c>
      <c r="C456" s="60">
        <v>1000</v>
      </c>
      <c r="D456" s="60">
        <v>0</v>
      </c>
    </row>
    <row r="457" spans="1:4" x14ac:dyDescent="0.25">
      <c r="A457" s="60">
        <v>292</v>
      </c>
      <c r="B457" s="60" t="s">
        <v>120</v>
      </c>
      <c r="C457" s="60">
        <v>1000</v>
      </c>
      <c r="D457" s="60">
        <v>1422980</v>
      </c>
    </row>
    <row r="458" spans="1:4" x14ac:dyDescent="0.25">
      <c r="A458" s="60">
        <v>292</v>
      </c>
      <c r="B458" s="60" t="s">
        <v>120</v>
      </c>
      <c r="C458" s="60">
        <v>1098</v>
      </c>
      <c r="D458" s="60">
        <v>0</v>
      </c>
    </row>
    <row r="459" spans="1:4" x14ac:dyDescent="0.25">
      <c r="A459" s="60">
        <v>293</v>
      </c>
      <c r="B459" s="60" t="s">
        <v>120</v>
      </c>
      <c r="C459" s="60">
        <v>1000</v>
      </c>
      <c r="D459" s="60">
        <v>374502</v>
      </c>
    </row>
    <row r="460" spans="1:4" x14ac:dyDescent="0.25">
      <c r="A460" s="60">
        <v>293</v>
      </c>
      <c r="B460" s="60" t="s">
        <v>120</v>
      </c>
      <c r="C460" s="60">
        <v>1080</v>
      </c>
      <c r="D460" s="60">
        <v>0</v>
      </c>
    </row>
    <row r="461" spans="1:4" x14ac:dyDescent="0.25">
      <c r="A461" s="60">
        <v>293</v>
      </c>
      <c r="B461" s="60" t="s">
        <v>120</v>
      </c>
      <c r="C461" s="60">
        <v>1098</v>
      </c>
      <c r="D461" s="60">
        <v>0</v>
      </c>
    </row>
    <row r="462" spans="1:4" x14ac:dyDescent="0.25">
      <c r="A462" s="60">
        <v>294</v>
      </c>
      <c r="B462" s="60" t="s">
        <v>120</v>
      </c>
      <c r="C462" s="60">
        <v>1000</v>
      </c>
      <c r="D462" s="60">
        <v>34780</v>
      </c>
    </row>
    <row r="463" spans="1:4" x14ac:dyDescent="0.25">
      <c r="A463" s="60">
        <v>294</v>
      </c>
      <c r="B463" s="60" t="s">
        <v>120</v>
      </c>
      <c r="C463" s="60">
        <v>1080</v>
      </c>
      <c r="D463" s="60">
        <v>0</v>
      </c>
    </row>
    <row r="464" spans="1:4" x14ac:dyDescent="0.25">
      <c r="A464" s="60">
        <v>295</v>
      </c>
      <c r="B464" s="60" t="s">
        <v>120</v>
      </c>
      <c r="C464" s="60">
        <v>1000</v>
      </c>
      <c r="D464" s="60">
        <v>0</v>
      </c>
    </row>
    <row r="465" spans="1:4" x14ac:dyDescent="0.25">
      <c r="A465" s="60">
        <v>295</v>
      </c>
      <c r="B465" s="60" t="s">
        <v>120</v>
      </c>
      <c r="C465" s="60">
        <v>1080</v>
      </c>
      <c r="D465" s="60">
        <v>0</v>
      </c>
    </row>
    <row r="466" spans="1:4" x14ac:dyDescent="0.25">
      <c r="A466" s="60">
        <v>295</v>
      </c>
      <c r="B466" s="60" t="s">
        <v>120</v>
      </c>
      <c r="C466" s="60">
        <v>1098</v>
      </c>
      <c r="D466" s="60">
        <v>0</v>
      </c>
    </row>
    <row r="467" spans="1:4" x14ac:dyDescent="0.25">
      <c r="A467" s="60">
        <v>296</v>
      </c>
      <c r="B467" s="60" t="s">
        <v>120</v>
      </c>
      <c r="C467" s="60">
        <v>1000</v>
      </c>
      <c r="D467" s="60">
        <v>0</v>
      </c>
    </row>
    <row r="468" spans="1:4" x14ac:dyDescent="0.25">
      <c r="A468" s="60">
        <v>296</v>
      </c>
      <c r="B468" s="60" t="s">
        <v>120</v>
      </c>
      <c r="C468" s="60">
        <v>1080</v>
      </c>
      <c r="D468" s="60">
        <v>0</v>
      </c>
    </row>
    <row r="469" spans="1:4" x14ac:dyDescent="0.25">
      <c r="A469" s="60">
        <v>311</v>
      </c>
      <c r="B469" s="60" t="s">
        <v>120</v>
      </c>
      <c r="C469" s="60">
        <v>1000</v>
      </c>
      <c r="D469" s="60">
        <v>203160</v>
      </c>
    </row>
    <row r="470" spans="1:4" x14ac:dyDescent="0.25">
      <c r="A470" s="60">
        <v>311</v>
      </c>
      <c r="B470" s="60" t="s">
        <v>120</v>
      </c>
      <c r="C470" s="60">
        <v>1098</v>
      </c>
      <c r="D470" s="60">
        <v>0</v>
      </c>
    </row>
    <row r="471" spans="1:4" x14ac:dyDescent="0.25">
      <c r="A471" s="60">
        <v>315</v>
      </c>
      <c r="B471" s="60" t="s">
        <v>120</v>
      </c>
      <c r="C471" s="60">
        <v>1000</v>
      </c>
      <c r="D471" s="60">
        <v>0</v>
      </c>
    </row>
    <row r="472" spans="1:4" x14ac:dyDescent="0.25">
      <c r="A472" s="60">
        <v>315</v>
      </c>
      <c r="B472" s="60" t="s">
        <v>120</v>
      </c>
      <c r="C472" s="60">
        <v>1098</v>
      </c>
      <c r="D472" s="60">
        <v>0</v>
      </c>
    </row>
    <row r="473" spans="1:4" x14ac:dyDescent="0.25">
      <c r="A473" s="60">
        <v>331</v>
      </c>
      <c r="B473" s="60" t="s">
        <v>120</v>
      </c>
      <c r="C473" s="60">
        <v>1000</v>
      </c>
      <c r="D473" s="60">
        <v>0</v>
      </c>
    </row>
    <row r="474" spans="1:4" x14ac:dyDescent="0.25">
      <c r="A474" s="60">
        <v>341</v>
      </c>
      <c r="B474" s="60" t="s">
        <v>120</v>
      </c>
      <c r="C474" s="60">
        <v>1000</v>
      </c>
      <c r="D474" s="60">
        <v>293420</v>
      </c>
    </row>
    <row r="475" spans="1:4" x14ac:dyDescent="0.25">
      <c r="A475" s="60">
        <v>341</v>
      </c>
      <c r="B475" s="60" t="s">
        <v>120</v>
      </c>
      <c r="C475" s="60">
        <v>1010</v>
      </c>
      <c r="D475" s="60">
        <v>0</v>
      </c>
    </row>
    <row r="476" spans="1:4" x14ac:dyDescent="0.25">
      <c r="A476" s="60">
        <v>341</v>
      </c>
      <c r="B476" s="60" t="s">
        <v>120</v>
      </c>
      <c r="C476" s="60">
        <v>1098</v>
      </c>
      <c r="D476" s="60">
        <v>0</v>
      </c>
    </row>
    <row r="477" spans="1:4" x14ac:dyDescent="0.25">
      <c r="A477" s="60">
        <v>351</v>
      </c>
      <c r="B477" s="60" t="s">
        <v>120</v>
      </c>
      <c r="C477" s="60">
        <v>1000</v>
      </c>
      <c r="D477" s="60">
        <v>0</v>
      </c>
    </row>
    <row r="478" spans="1:4" x14ac:dyDescent="0.25">
      <c r="A478" s="60">
        <v>351</v>
      </c>
      <c r="B478" s="60" t="s">
        <v>120</v>
      </c>
      <c r="C478" s="60">
        <v>1080</v>
      </c>
      <c r="D478" s="60">
        <v>0</v>
      </c>
    </row>
    <row r="479" spans="1:4" x14ac:dyDescent="0.25">
      <c r="A479" s="60">
        <v>351</v>
      </c>
      <c r="B479" s="60" t="s">
        <v>120</v>
      </c>
      <c r="C479" s="60">
        <v>1098</v>
      </c>
      <c r="D479" s="60">
        <v>0</v>
      </c>
    </row>
    <row r="480" spans="1:4" x14ac:dyDescent="0.25">
      <c r="A480" s="60">
        <v>432</v>
      </c>
      <c r="B480" s="60" t="s">
        <v>120</v>
      </c>
      <c r="C480" s="60">
        <v>1000</v>
      </c>
      <c r="D480" s="60">
        <v>282570</v>
      </c>
    </row>
    <row r="481" spans="1:4" x14ac:dyDescent="0.25">
      <c r="A481" s="60">
        <v>432</v>
      </c>
      <c r="B481" s="60" t="s">
        <v>120</v>
      </c>
      <c r="C481" s="60">
        <v>1080</v>
      </c>
      <c r="D481" s="60">
        <v>0</v>
      </c>
    </row>
    <row r="482" spans="1:4" x14ac:dyDescent="0.25">
      <c r="A482" s="60">
        <v>432</v>
      </c>
      <c r="B482" s="60" t="s">
        <v>120</v>
      </c>
      <c r="C482" s="60">
        <v>1098</v>
      </c>
      <c r="D482" s="60">
        <v>0</v>
      </c>
    </row>
    <row r="483" spans="1:4" x14ac:dyDescent="0.25">
      <c r="A483" s="60">
        <v>433</v>
      </c>
      <c r="B483" s="60" t="s">
        <v>120</v>
      </c>
      <c r="C483" s="60">
        <v>1000</v>
      </c>
      <c r="D483" s="60">
        <v>0</v>
      </c>
    </row>
    <row r="484" spans="1:4" x14ac:dyDescent="0.25">
      <c r="A484" s="60">
        <v>433</v>
      </c>
      <c r="B484" s="60" t="s">
        <v>120</v>
      </c>
      <c r="C484" s="60">
        <v>1080</v>
      </c>
      <c r="D484" s="60">
        <v>0</v>
      </c>
    </row>
    <row r="485" spans="1:4" x14ac:dyDescent="0.25">
      <c r="A485" s="60">
        <v>433</v>
      </c>
      <c r="B485" s="60" t="s">
        <v>120</v>
      </c>
      <c r="C485" s="60">
        <v>1098</v>
      </c>
      <c r="D485" s="60">
        <v>0</v>
      </c>
    </row>
    <row r="486" spans="1:4" x14ac:dyDescent="0.25">
      <c r="A486" s="60">
        <v>434</v>
      </c>
      <c r="B486" s="60" t="s">
        <v>120</v>
      </c>
      <c r="C486" s="60">
        <v>1000</v>
      </c>
      <c r="D486" s="60">
        <v>0</v>
      </c>
    </row>
    <row r="487" spans="1:4" x14ac:dyDescent="0.25">
      <c r="A487" s="60">
        <v>442</v>
      </c>
      <c r="B487" s="60" t="s">
        <v>120</v>
      </c>
      <c r="C487" s="60">
        <v>1000</v>
      </c>
      <c r="D487" s="60">
        <v>47456</v>
      </c>
    </row>
    <row r="488" spans="1:4" x14ac:dyDescent="0.25">
      <c r="A488" s="60">
        <v>442</v>
      </c>
      <c r="B488" s="60" t="s">
        <v>120</v>
      </c>
      <c r="C488" s="60">
        <v>1098</v>
      </c>
      <c r="D488" s="60">
        <v>0</v>
      </c>
    </row>
    <row r="489" spans="1:4" x14ac:dyDescent="0.25">
      <c r="A489" s="60">
        <v>443</v>
      </c>
      <c r="B489" s="60" t="s">
        <v>120</v>
      </c>
      <c r="C489" s="60">
        <v>1000</v>
      </c>
      <c r="D489" s="60">
        <v>0</v>
      </c>
    </row>
    <row r="490" spans="1:4" x14ac:dyDescent="0.25">
      <c r="A490" s="60">
        <v>443</v>
      </c>
      <c r="B490" s="60" t="s">
        <v>120</v>
      </c>
      <c r="C490" s="60">
        <v>1098</v>
      </c>
      <c r="D490" s="60">
        <v>0</v>
      </c>
    </row>
    <row r="491" spans="1:4" x14ac:dyDescent="0.25">
      <c r="A491" s="60">
        <v>445</v>
      </c>
      <c r="B491" s="60" t="s">
        <v>120</v>
      </c>
      <c r="C491" s="60">
        <v>1000</v>
      </c>
      <c r="D491" s="60">
        <v>0</v>
      </c>
    </row>
    <row r="492" spans="1:4" x14ac:dyDescent="0.25">
      <c r="A492" s="60">
        <v>445</v>
      </c>
      <c r="B492" s="60" t="s">
        <v>120</v>
      </c>
      <c r="C492" s="60">
        <v>1098</v>
      </c>
      <c r="D492" s="60">
        <v>0</v>
      </c>
    </row>
    <row r="493" spans="1:4" x14ac:dyDescent="0.25">
      <c r="A493" s="60">
        <v>447</v>
      </c>
      <c r="B493" s="60" t="s">
        <v>120</v>
      </c>
      <c r="C493" s="60">
        <v>1000</v>
      </c>
      <c r="D493" s="60">
        <v>365378</v>
      </c>
    </row>
    <row r="494" spans="1:4" x14ac:dyDescent="0.25">
      <c r="A494" s="60">
        <v>447</v>
      </c>
      <c r="B494" s="60" t="s">
        <v>120</v>
      </c>
      <c r="C494" s="60">
        <v>1080</v>
      </c>
      <c r="D494" s="60">
        <v>0</v>
      </c>
    </row>
    <row r="495" spans="1:4" x14ac:dyDescent="0.25">
      <c r="A495" s="60">
        <v>510</v>
      </c>
      <c r="B495" s="60" t="s">
        <v>120</v>
      </c>
      <c r="C495" s="60">
        <v>1000</v>
      </c>
      <c r="D495" s="60">
        <v>0</v>
      </c>
    </row>
    <row r="496" spans="1:4" x14ac:dyDescent="0.25">
      <c r="A496" s="60">
        <v>510</v>
      </c>
      <c r="B496" s="60" t="s">
        <v>120</v>
      </c>
      <c r="C496" s="60">
        <v>1080</v>
      </c>
      <c r="D496" s="60">
        <v>0</v>
      </c>
    </row>
    <row r="497" spans="1:4" x14ac:dyDescent="0.25">
      <c r="A497" s="60">
        <v>510</v>
      </c>
      <c r="B497" s="60" t="s">
        <v>120</v>
      </c>
      <c r="C497" s="60">
        <v>1098</v>
      </c>
      <c r="D497" s="60">
        <v>0</v>
      </c>
    </row>
    <row r="498" spans="1:4" x14ac:dyDescent="0.25">
      <c r="A498" s="60">
        <v>520</v>
      </c>
      <c r="B498" s="60" t="s">
        <v>120</v>
      </c>
      <c r="C498" s="60">
        <v>1000</v>
      </c>
      <c r="D498" s="60">
        <v>0</v>
      </c>
    </row>
    <row r="499" spans="1:4" x14ac:dyDescent="0.25">
      <c r="A499" s="60">
        <v>520</v>
      </c>
      <c r="B499" s="60" t="s">
        <v>120</v>
      </c>
      <c r="C499" s="60">
        <v>1098</v>
      </c>
      <c r="D499" s="60">
        <v>0</v>
      </c>
    </row>
    <row r="500" spans="1:4" x14ac:dyDescent="0.25">
      <c r="A500" s="60">
        <v>530</v>
      </c>
      <c r="B500" s="60" t="s">
        <v>120</v>
      </c>
      <c r="C500" s="60">
        <v>1000</v>
      </c>
      <c r="D500" s="60">
        <v>0</v>
      </c>
    </row>
    <row r="501" spans="1:4" x14ac:dyDescent="0.25">
      <c r="A501" s="60">
        <v>540</v>
      </c>
      <c r="B501" s="60" t="s">
        <v>120</v>
      </c>
      <c r="C501" s="60">
        <v>1000</v>
      </c>
      <c r="D501" s="60">
        <v>0</v>
      </c>
    </row>
    <row r="502" spans="1:4" x14ac:dyDescent="0.25">
      <c r="A502" s="60">
        <v>540</v>
      </c>
      <c r="B502" s="60" t="s">
        <v>120</v>
      </c>
      <c r="C502" s="60">
        <v>1080</v>
      </c>
      <c r="D502" s="60">
        <v>0</v>
      </c>
    </row>
    <row r="503" spans="1:4" x14ac:dyDescent="0.25">
      <c r="A503" s="60">
        <v>540</v>
      </c>
      <c r="B503" s="60" t="s">
        <v>120</v>
      </c>
      <c r="C503" s="60">
        <v>1098</v>
      </c>
      <c r="D503" s="60">
        <v>0</v>
      </c>
    </row>
    <row r="504" spans="1:4" x14ac:dyDescent="0.25">
      <c r="A504" s="60">
        <v>541</v>
      </c>
      <c r="B504" s="60" t="s">
        <v>120</v>
      </c>
      <c r="C504" s="60">
        <v>1000</v>
      </c>
      <c r="D504" s="60">
        <v>54180</v>
      </c>
    </row>
    <row r="505" spans="1:4" x14ac:dyDescent="0.25">
      <c r="A505" s="60">
        <v>542</v>
      </c>
      <c r="B505" s="60" t="s">
        <v>120</v>
      </c>
      <c r="C505" s="60">
        <v>1000</v>
      </c>
      <c r="D505" s="60">
        <v>0</v>
      </c>
    </row>
    <row r="506" spans="1:4" x14ac:dyDescent="0.25">
      <c r="A506" s="60">
        <v>543</v>
      </c>
      <c r="B506" s="60" t="s">
        <v>120</v>
      </c>
      <c r="C506" s="60">
        <v>1000</v>
      </c>
      <c r="D506" s="60">
        <v>0</v>
      </c>
    </row>
    <row r="507" spans="1:4" x14ac:dyDescent="0.25">
      <c r="A507" s="60">
        <v>544</v>
      </c>
      <c r="B507" s="60" t="s">
        <v>120</v>
      </c>
      <c r="C507" s="60">
        <v>1000</v>
      </c>
      <c r="D507" s="60">
        <v>0</v>
      </c>
    </row>
    <row r="508" spans="1:4" x14ac:dyDescent="0.25">
      <c r="A508" s="60">
        <v>544</v>
      </c>
      <c r="B508" s="60" t="s">
        <v>120</v>
      </c>
      <c r="C508" s="60">
        <v>1080</v>
      </c>
      <c r="D508" s="60">
        <v>0</v>
      </c>
    </row>
    <row r="509" spans="1:4" x14ac:dyDescent="0.25">
      <c r="A509" s="60">
        <v>545</v>
      </c>
      <c r="B509" s="60" t="s">
        <v>120</v>
      </c>
      <c r="C509" s="60">
        <v>1000</v>
      </c>
      <c r="D509" s="60">
        <v>1160</v>
      </c>
    </row>
    <row r="510" spans="1:4" x14ac:dyDescent="0.25">
      <c r="A510" s="60">
        <v>546</v>
      </c>
      <c r="B510" s="60" t="s">
        <v>120</v>
      </c>
      <c r="C510" s="60">
        <v>1000</v>
      </c>
      <c r="D510" s="60">
        <v>0</v>
      </c>
    </row>
    <row r="511" spans="1:4" x14ac:dyDescent="0.25">
      <c r="A511" s="60">
        <v>547</v>
      </c>
      <c r="B511" s="60" t="s">
        <v>120</v>
      </c>
      <c r="C511" s="60">
        <v>1000</v>
      </c>
      <c r="D511" s="60">
        <v>43860</v>
      </c>
    </row>
    <row r="512" spans="1:4" x14ac:dyDescent="0.25">
      <c r="A512" s="60">
        <v>548</v>
      </c>
      <c r="B512" s="60" t="s">
        <v>120</v>
      </c>
      <c r="C512" s="60">
        <v>1000</v>
      </c>
      <c r="D512" s="60">
        <v>606</v>
      </c>
    </row>
    <row r="513" spans="1:4" x14ac:dyDescent="0.25">
      <c r="A513" s="60">
        <v>548</v>
      </c>
      <c r="B513" s="60" t="s">
        <v>120</v>
      </c>
      <c r="C513" s="60">
        <v>1098</v>
      </c>
      <c r="D513" s="60">
        <v>0</v>
      </c>
    </row>
    <row r="514" spans="1:4" x14ac:dyDescent="0.25">
      <c r="A514" s="60">
        <v>550</v>
      </c>
      <c r="B514" s="60" t="s">
        <v>120</v>
      </c>
      <c r="C514" s="60">
        <v>1000</v>
      </c>
      <c r="D514" s="60">
        <v>0</v>
      </c>
    </row>
    <row r="515" spans="1:4" x14ac:dyDescent="0.25">
      <c r="A515" s="60">
        <v>551</v>
      </c>
      <c r="B515" s="60" t="s">
        <v>120</v>
      </c>
      <c r="C515" s="60">
        <v>1000</v>
      </c>
      <c r="D515" s="60">
        <v>191863</v>
      </c>
    </row>
    <row r="516" spans="1:4" x14ac:dyDescent="0.25">
      <c r="A516" s="60">
        <v>560</v>
      </c>
      <c r="B516" s="60" t="s">
        <v>120</v>
      </c>
      <c r="C516" s="60">
        <v>1000</v>
      </c>
      <c r="D516" s="60">
        <v>0</v>
      </c>
    </row>
    <row r="517" spans="1:4" x14ac:dyDescent="0.25">
      <c r="A517" s="60">
        <v>560</v>
      </c>
      <c r="B517" s="60" t="s">
        <v>120</v>
      </c>
      <c r="C517" s="60">
        <v>1080</v>
      </c>
      <c r="D517" s="60">
        <v>96320000</v>
      </c>
    </row>
    <row r="518" spans="1:4" x14ac:dyDescent="0.25">
      <c r="A518" s="60">
        <v>561</v>
      </c>
      <c r="B518" s="60" t="s">
        <v>120</v>
      </c>
      <c r="C518" s="60">
        <v>1000</v>
      </c>
      <c r="D518" s="60">
        <v>0</v>
      </c>
    </row>
    <row r="519" spans="1:4" x14ac:dyDescent="0.25">
      <c r="A519" s="60">
        <v>571</v>
      </c>
      <c r="B519" s="60" t="s">
        <v>120</v>
      </c>
      <c r="C519" s="60">
        <v>1000</v>
      </c>
      <c r="D519" s="60">
        <v>0</v>
      </c>
    </row>
    <row r="520" spans="1:4" x14ac:dyDescent="0.25">
      <c r="A520" s="60">
        <v>601</v>
      </c>
      <c r="B520" s="60" t="s">
        <v>120</v>
      </c>
      <c r="C520" s="60">
        <v>1000</v>
      </c>
      <c r="D520" s="60">
        <v>0</v>
      </c>
    </row>
    <row r="521" spans="1:4" x14ac:dyDescent="0.25">
      <c r="A521" s="60">
        <v>602</v>
      </c>
      <c r="B521" s="60" t="s">
        <v>120</v>
      </c>
      <c r="C521" s="60">
        <v>1000</v>
      </c>
      <c r="D521" s="60">
        <v>0</v>
      </c>
    </row>
    <row r="522" spans="1:4" x14ac:dyDescent="0.25">
      <c r="A522" s="60">
        <v>605</v>
      </c>
      <c r="B522" s="60" t="s">
        <v>120</v>
      </c>
      <c r="C522" s="60">
        <v>1000</v>
      </c>
      <c r="D522" s="60">
        <v>0</v>
      </c>
    </row>
    <row r="523" spans="1:4" x14ac:dyDescent="0.25">
      <c r="A523" s="60">
        <v>923</v>
      </c>
      <c r="B523" s="60" t="s">
        <v>120</v>
      </c>
      <c r="C523" s="60">
        <v>1000</v>
      </c>
      <c r="D523" s="60">
        <v>0</v>
      </c>
    </row>
    <row r="524" spans="1:4" x14ac:dyDescent="0.25">
      <c r="A524" s="60">
        <v>952</v>
      </c>
      <c r="B524" s="60" t="s">
        <v>120</v>
      </c>
      <c r="C524" s="60">
        <v>1000</v>
      </c>
      <c r="D524" s="60">
        <v>0</v>
      </c>
    </row>
    <row r="525" spans="1:4" x14ac:dyDescent="0.25">
      <c r="A525" s="60">
        <v>959</v>
      </c>
      <c r="B525" s="60" t="s">
        <v>120</v>
      </c>
      <c r="C525" s="60">
        <v>1080</v>
      </c>
      <c r="D525" s="60">
        <v>0</v>
      </c>
    </row>
    <row r="526" spans="1:4" x14ac:dyDescent="0.25">
      <c r="A526" s="60">
        <v>961</v>
      </c>
      <c r="B526" s="60" t="s">
        <v>120</v>
      </c>
      <c r="C526" s="60">
        <v>1000</v>
      </c>
      <c r="D526" s="60">
        <v>0</v>
      </c>
    </row>
    <row r="527" spans="1:4" x14ac:dyDescent="0.25">
      <c r="A527" s="60">
        <v>968</v>
      </c>
      <c r="B527" s="60" t="s">
        <v>120</v>
      </c>
      <c r="C527" s="60">
        <v>1000</v>
      </c>
      <c r="D527" s="60">
        <v>0</v>
      </c>
    </row>
    <row r="528" spans="1:4" x14ac:dyDescent="0.25">
      <c r="A528" s="60">
        <v>989</v>
      </c>
      <c r="B528" s="60" t="s">
        <v>120</v>
      </c>
      <c r="C528" s="60">
        <v>1000</v>
      </c>
      <c r="D528" s="60">
        <v>0</v>
      </c>
    </row>
    <row r="529" spans="1:4" x14ac:dyDescent="0.25">
      <c r="A529" s="60">
        <v>1</v>
      </c>
      <c r="B529" s="60" t="s">
        <v>121</v>
      </c>
      <c r="C529" s="60">
        <v>1000</v>
      </c>
      <c r="D529" s="60">
        <v>182</v>
      </c>
    </row>
    <row r="530" spans="1:4" x14ac:dyDescent="0.25">
      <c r="A530" s="60">
        <v>1</v>
      </c>
      <c r="B530" s="60" t="s">
        <v>121</v>
      </c>
      <c r="C530" s="60">
        <v>1010</v>
      </c>
      <c r="D530" s="60">
        <v>0</v>
      </c>
    </row>
    <row r="531" spans="1:4" x14ac:dyDescent="0.25">
      <c r="A531" s="60">
        <v>1</v>
      </c>
      <c r="B531" s="60" t="s">
        <v>121</v>
      </c>
      <c r="C531" s="60">
        <v>1098</v>
      </c>
      <c r="D531" s="60">
        <v>0</v>
      </c>
    </row>
    <row r="532" spans="1:4" x14ac:dyDescent="0.25">
      <c r="A532" s="60">
        <v>11</v>
      </c>
      <c r="B532" s="60" t="s">
        <v>121</v>
      </c>
      <c r="C532" s="60">
        <v>1000</v>
      </c>
      <c r="D532" s="60">
        <v>0</v>
      </c>
    </row>
    <row r="533" spans="1:4" x14ac:dyDescent="0.25">
      <c r="A533" s="60">
        <v>61</v>
      </c>
      <c r="B533" s="60" t="s">
        <v>121</v>
      </c>
      <c r="C533" s="60">
        <v>1000</v>
      </c>
      <c r="D533" s="60">
        <v>68582</v>
      </c>
    </row>
    <row r="534" spans="1:4" x14ac:dyDescent="0.25">
      <c r="A534" s="60">
        <v>61</v>
      </c>
      <c r="B534" s="60" t="s">
        <v>121</v>
      </c>
      <c r="C534" s="60">
        <v>1010</v>
      </c>
      <c r="D534" s="60">
        <v>0</v>
      </c>
    </row>
    <row r="535" spans="1:4" x14ac:dyDescent="0.25">
      <c r="A535" s="60">
        <v>71</v>
      </c>
      <c r="B535" s="60" t="s">
        <v>121</v>
      </c>
      <c r="C535" s="60">
        <v>1000</v>
      </c>
      <c r="D535" s="60">
        <v>0</v>
      </c>
    </row>
    <row r="536" spans="1:4" x14ac:dyDescent="0.25">
      <c r="A536" s="60">
        <v>71</v>
      </c>
      <c r="B536" s="60" t="s">
        <v>121</v>
      </c>
      <c r="C536" s="60">
        <v>1010</v>
      </c>
      <c r="D536" s="60">
        <v>0</v>
      </c>
    </row>
    <row r="537" spans="1:4" x14ac:dyDescent="0.25">
      <c r="A537" s="60">
        <v>91</v>
      </c>
      <c r="B537" s="60" t="s">
        <v>121</v>
      </c>
      <c r="C537" s="60">
        <v>1000</v>
      </c>
      <c r="D537" s="60">
        <v>0</v>
      </c>
    </row>
    <row r="538" spans="1:4" x14ac:dyDescent="0.25">
      <c r="A538" s="60">
        <v>101</v>
      </c>
      <c r="B538" s="60" t="s">
        <v>121</v>
      </c>
      <c r="C538" s="60">
        <v>1000</v>
      </c>
      <c r="D538" s="60">
        <v>0</v>
      </c>
    </row>
    <row r="539" spans="1:4" x14ac:dyDescent="0.25">
      <c r="A539" s="60">
        <v>111</v>
      </c>
      <c r="B539" s="60" t="s">
        <v>121</v>
      </c>
      <c r="C539" s="60">
        <v>1000</v>
      </c>
      <c r="D539" s="60">
        <v>0</v>
      </c>
    </row>
    <row r="540" spans="1:4" x14ac:dyDescent="0.25">
      <c r="A540" s="60">
        <v>161</v>
      </c>
      <c r="B540" s="60" t="s">
        <v>121</v>
      </c>
      <c r="C540" s="60">
        <v>1000</v>
      </c>
      <c r="D540" s="60">
        <v>0</v>
      </c>
    </row>
    <row r="541" spans="1:4" x14ac:dyDescent="0.25">
      <c r="A541" s="60">
        <v>192</v>
      </c>
      <c r="B541" s="60" t="s">
        <v>121</v>
      </c>
      <c r="C541" s="60">
        <v>1000</v>
      </c>
      <c r="D541" s="60">
        <v>0</v>
      </c>
    </row>
    <row r="542" spans="1:4" x14ac:dyDescent="0.25">
      <c r="A542" s="60">
        <v>195</v>
      </c>
      <c r="B542" s="60" t="s">
        <v>121</v>
      </c>
      <c r="C542" s="60">
        <v>1000</v>
      </c>
      <c r="D542" s="60">
        <v>0</v>
      </c>
    </row>
    <row r="543" spans="1:4" x14ac:dyDescent="0.25">
      <c r="A543" s="60">
        <v>195</v>
      </c>
      <c r="B543" s="60" t="s">
        <v>121</v>
      </c>
      <c r="C543" s="60">
        <v>1010</v>
      </c>
      <c r="D543" s="60">
        <v>0</v>
      </c>
    </row>
    <row r="544" spans="1:4" x14ac:dyDescent="0.25">
      <c r="A544" s="60">
        <v>196</v>
      </c>
      <c r="B544" s="60" t="s">
        <v>121</v>
      </c>
      <c r="C544" s="60">
        <v>1000</v>
      </c>
      <c r="D544" s="60">
        <v>0</v>
      </c>
    </row>
    <row r="545" spans="1:4" x14ac:dyDescent="0.25">
      <c r="A545" s="60">
        <v>196</v>
      </c>
      <c r="B545" s="60" t="s">
        <v>121</v>
      </c>
      <c r="C545" s="60">
        <v>1010</v>
      </c>
      <c r="D545" s="60">
        <v>0</v>
      </c>
    </row>
    <row r="546" spans="1:4" x14ac:dyDescent="0.25">
      <c r="A546" s="60">
        <v>196</v>
      </c>
      <c r="B546" s="60" t="s">
        <v>121</v>
      </c>
      <c r="C546" s="60">
        <v>1098</v>
      </c>
      <c r="D546" s="60">
        <v>0</v>
      </c>
    </row>
    <row r="547" spans="1:4" x14ac:dyDescent="0.25">
      <c r="A547" s="60">
        <v>198</v>
      </c>
      <c r="B547" s="60" t="s">
        <v>121</v>
      </c>
      <c r="C547" s="60">
        <v>1000</v>
      </c>
      <c r="D547" s="60">
        <v>0</v>
      </c>
    </row>
    <row r="548" spans="1:4" x14ac:dyDescent="0.25">
      <c r="A548" s="60">
        <v>198</v>
      </c>
      <c r="B548" s="60" t="s">
        <v>121</v>
      </c>
      <c r="C548" s="60">
        <v>1010</v>
      </c>
      <c r="D548" s="60">
        <v>0</v>
      </c>
    </row>
    <row r="549" spans="1:4" x14ac:dyDescent="0.25">
      <c r="A549" s="60">
        <v>212</v>
      </c>
      <c r="B549" s="60" t="s">
        <v>121</v>
      </c>
      <c r="C549" s="60">
        <v>1000</v>
      </c>
      <c r="D549" s="60">
        <v>0</v>
      </c>
    </row>
    <row r="550" spans="1:4" x14ac:dyDescent="0.25">
      <c r="A550" s="60">
        <v>242</v>
      </c>
      <c r="B550" s="60" t="s">
        <v>121</v>
      </c>
      <c r="C550" s="60">
        <v>1000</v>
      </c>
      <c r="D550" s="60">
        <v>0</v>
      </c>
    </row>
    <row r="551" spans="1:4" x14ac:dyDescent="0.25">
      <c r="A551" s="60">
        <v>252</v>
      </c>
      <c r="B551" s="60" t="s">
        <v>121</v>
      </c>
      <c r="C551" s="60">
        <v>1000</v>
      </c>
      <c r="D551" s="60">
        <v>0</v>
      </c>
    </row>
    <row r="552" spans="1:4" x14ac:dyDescent="0.25">
      <c r="A552" s="60">
        <v>252</v>
      </c>
      <c r="B552" s="60" t="s">
        <v>121</v>
      </c>
      <c r="C552" s="60">
        <v>1010</v>
      </c>
      <c r="D552" s="60">
        <v>0</v>
      </c>
    </row>
    <row r="553" spans="1:4" x14ac:dyDescent="0.25">
      <c r="A553" s="60">
        <v>262</v>
      </c>
      <c r="B553" s="60" t="s">
        <v>121</v>
      </c>
      <c r="C553" s="60">
        <v>1000</v>
      </c>
      <c r="D553" s="60">
        <v>0</v>
      </c>
    </row>
    <row r="554" spans="1:4" x14ac:dyDescent="0.25">
      <c r="A554" s="60">
        <v>262</v>
      </c>
      <c r="B554" s="60" t="s">
        <v>121</v>
      </c>
      <c r="C554" s="60">
        <v>1010</v>
      </c>
      <c r="D554" s="60">
        <v>0</v>
      </c>
    </row>
    <row r="555" spans="1:4" x14ac:dyDescent="0.25">
      <c r="A555" s="60">
        <v>272</v>
      </c>
      <c r="B555" s="60" t="s">
        <v>121</v>
      </c>
      <c r="C555" s="60">
        <v>1000</v>
      </c>
      <c r="D555" s="60">
        <v>0</v>
      </c>
    </row>
    <row r="556" spans="1:4" x14ac:dyDescent="0.25">
      <c r="A556" s="60">
        <v>282</v>
      </c>
      <c r="B556" s="60" t="s">
        <v>121</v>
      </c>
      <c r="C556" s="60">
        <v>1000</v>
      </c>
      <c r="D556" s="60">
        <v>0</v>
      </c>
    </row>
    <row r="557" spans="1:4" x14ac:dyDescent="0.25">
      <c r="A557" s="60">
        <v>341</v>
      </c>
      <c r="B557" s="60" t="s">
        <v>121</v>
      </c>
      <c r="C557" s="60">
        <v>1000</v>
      </c>
      <c r="D557" s="60">
        <v>0</v>
      </c>
    </row>
    <row r="558" spans="1:4" x14ac:dyDescent="0.25">
      <c r="A558" s="60">
        <v>341</v>
      </c>
      <c r="B558" s="60" t="s">
        <v>121</v>
      </c>
      <c r="C558" s="60">
        <v>1010</v>
      </c>
      <c r="D558" s="60">
        <v>0</v>
      </c>
    </row>
    <row r="559" spans="1:4" x14ac:dyDescent="0.25">
      <c r="A559" s="60">
        <v>510</v>
      </c>
      <c r="B559" s="60" t="s">
        <v>121</v>
      </c>
      <c r="C559" s="60">
        <v>1000</v>
      </c>
      <c r="D559" s="60">
        <v>0</v>
      </c>
    </row>
    <row r="560" spans="1:4" x14ac:dyDescent="0.25">
      <c r="A560" s="60">
        <v>510</v>
      </c>
      <c r="B560" s="60" t="s">
        <v>121</v>
      </c>
      <c r="C560" s="60">
        <v>1010</v>
      </c>
      <c r="D560" s="60">
        <v>0</v>
      </c>
    </row>
    <row r="561" spans="1:4" x14ac:dyDescent="0.25">
      <c r="A561" s="60">
        <v>520</v>
      </c>
      <c r="B561" s="60" t="s">
        <v>121</v>
      </c>
      <c r="C561" s="60">
        <v>1000</v>
      </c>
      <c r="D561" s="60">
        <v>30374</v>
      </c>
    </row>
    <row r="562" spans="1:4" x14ac:dyDescent="0.25">
      <c r="A562" s="60">
        <v>530</v>
      </c>
      <c r="B562" s="60" t="s">
        <v>121</v>
      </c>
      <c r="C562" s="60">
        <v>1000</v>
      </c>
      <c r="D562" s="60">
        <v>0</v>
      </c>
    </row>
    <row r="563" spans="1:4" x14ac:dyDescent="0.25">
      <c r="A563" s="60">
        <v>530</v>
      </c>
      <c r="B563" s="60" t="s">
        <v>121</v>
      </c>
      <c r="C563" s="60">
        <v>1010</v>
      </c>
      <c r="D563" s="60">
        <v>0</v>
      </c>
    </row>
    <row r="564" spans="1:4" x14ac:dyDescent="0.25">
      <c r="A564" s="60">
        <v>530</v>
      </c>
      <c r="B564" s="60" t="s">
        <v>121</v>
      </c>
      <c r="C564" s="60">
        <v>1098</v>
      </c>
      <c r="D564" s="60">
        <v>0</v>
      </c>
    </row>
    <row r="565" spans="1:4" x14ac:dyDescent="0.25">
      <c r="A565" s="60">
        <v>542</v>
      </c>
      <c r="B565" s="60" t="s">
        <v>121</v>
      </c>
      <c r="C565" s="60">
        <v>1000</v>
      </c>
      <c r="D565" s="60">
        <v>0</v>
      </c>
    </row>
    <row r="566" spans="1:4" x14ac:dyDescent="0.25">
      <c r="A566" s="60">
        <v>992</v>
      </c>
      <c r="B566" s="60" t="s">
        <v>121</v>
      </c>
      <c r="C566" s="60">
        <v>1010</v>
      </c>
      <c r="D566" s="60">
        <v>0</v>
      </c>
    </row>
    <row r="567" spans="1:4" x14ac:dyDescent="0.25">
      <c r="A567" s="60">
        <v>1</v>
      </c>
      <c r="B567" s="60" t="s">
        <v>117</v>
      </c>
      <c r="C567" s="60">
        <v>10</v>
      </c>
      <c r="D567" s="60">
        <v>0</v>
      </c>
    </row>
    <row r="568" spans="1:4" x14ac:dyDescent="0.25">
      <c r="A568" s="60">
        <v>1</v>
      </c>
      <c r="B568" s="60" t="s">
        <v>117</v>
      </c>
      <c r="C568" s="60">
        <v>30</v>
      </c>
      <c r="D568" s="60">
        <v>0</v>
      </c>
    </row>
    <row r="569" spans="1:4" x14ac:dyDescent="0.25">
      <c r="A569" s="60">
        <v>1</v>
      </c>
      <c r="B569" s="60" t="s">
        <v>117</v>
      </c>
      <c r="C569" s="60">
        <v>110</v>
      </c>
      <c r="D569" s="60">
        <v>0</v>
      </c>
    </row>
    <row r="570" spans="1:4" x14ac:dyDescent="0.25">
      <c r="A570" s="60">
        <v>1</v>
      </c>
      <c r="B570" s="60" t="s">
        <v>117</v>
      </c>
      <c r="C570" s="60">
        <v>210</v>
      </c>
      <c r="D570" s="60">
        <v>0</v>
      </c>
    </row>
    <row r="571" spans="1:4" x14ac:dyDescent="0.25">
      <c r="A571" s="60">
        <v>1</v>
      </c>
      <c r="B571" s="60" t="s">
        <v>118</v>
      </c>
      <c r="C571" s="60">
        <v>10</v>
      </c>
      <c r="D571" s="60">
        <v>0</v>
      </c>
    </row>
    <row r="572" spans="1:4" x14ac:dyDescent="0.25">
      <c r="A572" s="60">
        <v>1</v>
      </c>
      <c r="B572" s="60" t="s">
        <v>118</v>
      </c>
      <c r="C572" s="60">
        <v>110</v>
      </c>
      <c r="D572" s="60">
        <v>0</v>
      </c>
    </row>
    <row r="573" spans="1:4" x14ac:dyDescent="0.25">
      <c r="A573" s="60">
        <v>1</v>
      </c>
      <c r="B573" s="60" t="s">
        <v>118</v>
      </c>
      <c r="C573" s="60">
        <v>210</v>
      </c>
      <c r="D573" s="60">
        <v>0</v>
      </c>
    </row>
    <row r="574" spans="1:4" x14ac:dyDescent="0.25">
      <c r="A574" s="60">
        <v>1</v>
      </c>
      <c r="B574" s="60" t="s">
        <v>118</v>
      </c>
      <c r="C574" s="60">
        <v>230</v>
      </c>
      <c r="D574" s="60">
        <v>0</v>
      </c>
    </row>
    <row r="575" spans="1:4" x14ac:dyDescent="0.25">
      <c r="A575" s="60">
        <v>1</v>
      </c>
      <c r="B575" s="60" t="s">
        <v>119</v>
      </c>
      <c r="C575" s="60">
        <v>110</v>
      </c>
      <c r="D575" s="60">
        <v>0</v>
      </c>
    </row>
    <row r="576" spans="1:4" x14ac:dyDescent="0.25">
      <c r="A576" s="60">
        <v>1</v>
      </c>
      <c r="B576" s="60" t="s">
        <v>119</v>
      </c>
      <c r="C576" s="60">
        <v>240</v>
      </c>
      <c r="D576" s="60">
        <v>0</v>
      </c>
    </row>
    <row r="577" spans="1:4" x14ac:dyDescent="0.25">
      <c r="A577" s="60">
        <v>1</v>
      </c>
      <c r="B577" s="60" t="s">
        <v>120</v>
      </c>
      <c r="C577" s="60">
        <v>1</v>
      </c>
      <c r="D577" s="60">
        <v>0</v>
      </c>
    </row>
    <row r="578" spans="1:4" x14ac:dyDescent="0.25">
      <c r="A578" s="60">
        <v>1</v>
      </c>
      <c r="B578" s="60" t="s">
        <v>120</v>
      </c>
      <c r="C578" s="60">
        <v>10</v>
      </c>
      <c r="D578" s="60">
        <v>0</v>
      </c>
    </row>
    <row r="579" spans="1:4" x14ac:dyDescent="0.25">
      <c r="A579" s="60">
        <v>1</v>
      </c>
      <c r="B579" s="60" t="s">
        <v>120</v>
      </c>
      <c r="C579" s="60">
        <v>30</v>
      </c>
      <c r="D579" s="60">
        <v>0</v>
      </c>
    </row>
    <row r="580" spans="1:4" x14ac:dyDescent="0.25">
      <c r="A580" s="60">
        <v>1</v>
      </c>
      <c r="B580" s="60" t="s">
        <v>120</v>
      </c>
      <c r="C580" s="60">
        <v>110</v>
      </c>
      <c r="D580" s="60">
        <v>0</v>
      </c>
    </row>
    <row r="581" spans="1:4" x14ac:dyDescent="0.25">
      <c r="A581" s="60">
        <v>992</v>
      </c>
      <c r="B581" s="60" t="s">
        <v>121</v>
      </c>
      <c r="C581" s="60">
        <v>1010</v>
      </c>
      <c r="D581" s="60">
        <v>0</v>
      </c>
    </row>
  </sheetData>
  <customSheetViews>
    <customSheetView guid="{787CEAB0-B665-4DDC-B6D5-0EF4B4179B2C}">
      <selection activeCell="G18" sqref="G18"/>
      <pageMargins left="0.75" right="0.75" top="1" bottom="1" header="0.5" footer="0.5"/>
      <printOptions gridLines="1"/>
      <pageSetup orientation="portrait" r:id="rId2"/>
      <headerFooter alignWithMargins="0">
        <oddHeader>&amp;A</oddHeader>
        <oddFooter>Page &amp;P</oddFooter>
      </headerFooter>
    </customSheetView>
    <customSheetView guid="{32FA922B-D311-4A17-9E95-50C57C186216}">
      <selection activeCell="G18" sqref="G18"/>
      <pageMargins left="0.75" right="0.75" top="1" bottom="1" header="0.5" footer="0.5"/>
      <printOptions gridLines="1"/>
      <pageSetup orientation="portrait" r:id="rId3"/>
      <headerFooter alignWithMargins="0">
        <oddHeader>&amp;A</oddHeader>
        <oddFooter>Page &amp;P</oddFooter>
      </headerFooter>
    </customSheetView>
    <customSheetView guid="{AD1DD6D4-9126-4937-AE78-38B0663E3739}">
      <selection activeCell="G18" sqref="G18"/>
      <pageMargins left="0.75" right="0.75" top="1" bottom="1" header="0.5" footer="0.5"/>
      <printOptions gridLines="1"/>
      <pageSetup orientation="portrait" r:id="rId4"/>
      <headerFooter alignWithMargins="0">
        <oddHeader>&amp;A</oddHeader>
        <oddFooter>Page &amp;P</oddFooter>
      </headerFooter>
    </customSheetView>
    <customSheetView guid="{007B44AF-685B-4B37-9750-B07A99A25CF6}">
      <selection activeCell="G18" sqref="G18"/>
      <pageMargins left="0.75" right="0.75" top="1" bottom="1" header="0.5" footer="0.5"/>
      <printOptions gridLines="1"/>
      <pageSetup orientation="portrait" r:id="rId5"/>
      <headerFooter alignWithMargins="0">
        <oddHeader>&amp;A</oddHeader>
        <oddFooter>Page &amp;P</oddFooter>
      </headerFooter>
    </customSheetView>
    <customSheetView guid="{AA02AC12-6E1B-4019-BD01-AFF4D21A6ABD}">
      <selection activeCell="G18" sqref="G18"/>
      <pageMargins left="0.75" right="0.75" top="1" bottom="1" header="0.5" footer="0.5"/>
      <printOptions gridLines="1"/>
      <pageSetup orientation="portrait" r:id="rId6"/>
      <headerFooter alignWithMargins="0">
        <oddHeader>&amp;A</oddHeader>
        <oddFooter>Page &amp;P</oddFooter>
      </headerFooter>
    </customSheetView>
    <customSheetView guid="{B148F6D0-D380-41BC-8CCF-9098DBC3211F}">
      <selection activeCell="G18" sqref="G18"/>
      <pageMargins left="0.75" right="0.75" top="1" bottom="1" header="0.5" footer="0.5"/>
      <printOptions gridLines="1"/>
      <pageSetup orientation="portrait" r:id="rId7"/>
      <headerFooter alignWithMargins="0">
        <oddHeader>&amp;A</oddHeader>
        <oddFooter>Page &amp;P</oddFooter>
      </headerFooter>
    </customSheetView>
    <customSheetView guid="{A6685E51-6E0B-411A-8D94-6874F1684A20}">
      <selection activeCell="G18" sqref="G18"/>
      <pageMargins left="0.75" right="0.75" top="1" bottom="1" header="0.5" footer="0.5"/>
      <printOptions gridLines="1"/>
      <pageSetup orientation="portrait" r:id="rId8"/>
      <headerFooter alignWithMargins="0">
        <oddHeader>&amp;A</oddHeader>
        <oddFooter>Page &amp;P</oddFooter>
      </headerFooter>
    </customSheetView>
  </customSheetViews>
  <phoneticPr fontId="0" type="noConversion"/>
  <printOptions gridLines="1" gridLinesSet="0"/>
  <pageMargins left="0.75" right="0.75" top="1" bottom="1" header="0.5" footer="0.5"/>
  <pageSetup orientation="portrait" r:id="rId9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9"/>
  <sheetViews>
    <sheetView workbookViewId="0">
      <selection activeCell="B16" sqref="B16"/>
    </sheetView>
  </sheetViews>
  <sheetFormatPr defaultRowHeight="13.2" x14ac:dyDescent="0.25"/>
  <cols>
    <col min="1" max="1" width="23.5546875" bestFit="1" customWidth="1"/>
    <col min="2" max="2" width="11.33203125" bestFit="1" customWidth="1"/>
    <col min="3" max="3" width="12.88671875" bestFit="1" customWidth="1"/>
    <col min="5" max="5" width="9.88671875" bestFit="1" customWidth="1"/>
    <col min="6" max="6" width="12.88671875" customWidth="1"/>
  </cols>
  <sheetData>
    <row r="1" spans="1:8" x14ac:dyDescent="0.25">
      <c r="A1" s="37" t="s">
        <v>0</v>
      </c>
      <c r="B1" s="38" t="s">
        <v>102</v>
      </c>
      <c r="C1" s="38" t="s">
        <v>103</v>
      </c>
      <c r="D1" s="38" t="s">
        <v>104</v>
      </c>
      <c r="E1" s="39" t="s">
        <v>105</v>
      </c>
      <c r="F1" s="47" t="s">
        <v>1</v>
      </c>
      <c r="G1" s="11"/>
      <c r="H1" s="11"/>
    </row>
    <row r="2" spans="1:8" x14ac:dyDescent="0.25">
      <c r="A2" s="7" t="s">
        <v>2</v>
      </c>
      <c r="B2" s="8">
        <v>375377</v>
      </c>
      <c r="C2" s="8">
        <v>213065</v>
      </c>
      <c r="D2" s="8">
        <v>310346</v>
      </c>
      <c r="E2" s="8">
        <v>143538</v>
      </c>
      <c r="F2" s="8">
        <f>SUM(B2:E2)</f>
        <v>1042326</v>
      </c>
      <c r="G2" s="2"/>
      <c r="H2" s="2"/>
    </row>
    <row r="3" spans="1:8" x14ac:dyDescent="0.25">
      <c r="A3" s="7" t="s">
        <v>3</v>
      </c>
      <c r="B3" s="8">
        <v>293995</v>
      </c>
      <c r="C3" s="8">
        <v>6661</v>
      </c>
      <c r="D3" s="8">
        <v>67382</v>
      </c>
      <c r="E3" s="8"/>
      <c r="F3" s="8" t="e">
        <f>#N/A</f>
        <v>#N/A</v>
      </c>
      <c r="G3" s="2"/>
      <c r="H3" s="2"/>
    </row>
    <row r="4" spans="1:8" x14ac:dyDescent="0.25">
      <c r="A4" s="7" t="s">
        <v>4</v>
      </c>
      <c r="B4" s="8">
        <v>60043</v>
      </c>
      <c r="C4" s="8">
        <v>207</v>
      </c>
      <c r="D4" s="8">
        <v>344</v>
      </c>
      <c r="E4" s="8">
        <v>9045</v>
      </c>
      <c r="F4" s="8" t="e">
        <f>#N/A</f>
        <v>#N/A</v>
      </c>
      <c r="G4" s="2"/>
      <c r="H4" s="2"/>
    </row>
    <row r="5" spans="1:8" x14ac:dyDescent="0.25">
      <c r="A5" s="7" t="s">
        <v>5</v>
      </c>
      <c r="B5" s="8">
        <v>11012</v>
      </c>
      <c r="C5" s="8">
        <v>23972</v>
      </c>
      <c r="D5" s="8"/>
      <c r="E5" s="8">
        <v>13220</v>
      </c>
      <c r="F5" s="8" t="e">
        <f>#N/A</f>
        <v>#N/A</v>
      </c>
      <c r="G5" s="2"/>
      <c r="H5" s="2"/>
    </row>
    <row r="6" spans="1:8" x14ac:dyDescent="0.25">
      <c r="A6" s="7" t="s">
        <v>77</v>
      </c>
      <c r="B6" s="8">
        <v>7281</v>
      </c>
      <c r="C6" s="8"/>
      <c r="D6" s="8"/>
      <c r="E6" s="8"/>
      <c r="F6" s="8" t="e">
        <f>#N/A</f>
        <v>#N/A</v>
      </c>
      <c r="G6" s="2"/>
      <c r="H6" s="2"/>
    </row>
    <row r="7" spans="1:8" x14ac:dyDescent="0.25">
      <c r="A7" s="37" t="s">
        <v>6</v>
      </c>
      <c r="B7" s="8">
        <f>B2+B3+B4+B5+B6</f>
        <v>747708</v>
      </c>
      <c r="C7" s="8">
        <f>C2+C3+C4+C5+C6</f>
        <v>243905</v>
      </c>
      <c r="D7" s="8">
        <f>D2+D3+D4+D5+D6</f>
        <v>378072</v>
      </c>
      <c r="E7" s="8">
        <f>E2+E3+E4+E5+E6</f>
        <v>165803</v>
      </c>
      <c r="F7" s="8" t="e">
        <f>#N/A</f>
        <v>#N/A</v>
      </c>
      <c r="G7" s="2"/>
      <c r="H7" s="2"/>
    </row>
    <row r="8" spans="1:8" x14ac:dyDescent="0.25">
      <c r="A8" s="7" t="s">
        <v>72</v>
      </c>
      <c r="B8" s="8"/>
      <c r="C8" s="8">
        <v>15071</v>
      </c>
      <c r="D8" s="8"/>
      <c r="E8" s="8">
        <v>46447</v>
      </c>
      <c r="F8" s="8" t="e">
        <f>#N/A</f>
        <v>#N/A</v>
      </c>
      <c r="G8" s="2"/>
      <c r="H8" s="2"/>
    </row>
    <row r="9" spans="1:8" x14ac:dyDescent="0.25">
      <c r="A9" s="7" t="s">
        <v>69</v>
      </c>
      <c r="B9" s="8">
        <v>23200</v>
      </c>
      <c r="C9" s="8"/>
      <c r="D9" s="8"/>
      <c r="E9" s="8"/>
      <c r="F9" s="8" t="e">
        <f>#N/A</f>
        <v>#N/A</v>
      </c>
      <c r="G9" s="2"/>
      <c r="H9" s="2"/>
    </row>
    <row r="10" spans="1:8" x14ac:dyDescent="0.25">
      <c r="A10" s="7" t="s">
        <v>76</v>
      </c>
      <c r="B10" s="8"/>
      <c r="C10" s="8"/>
      <c r="D10" s="8"/>
      <c r="E10" s="8"/>
      <c r="F10" s="8" t="e">
        <f>#N/A</f>
        <v>#N/A</v>
      </c>
      <c r="G10" s="2"/>
      <c r="H10" s="2"/>
    </row>
    <row r="11" spans="1:8" x14ac:dyDescent="0.25">
      <c r="A11" s="7" t="s">
        <v>73</v>
      </c>
      <c r="B11" s="8"/>
      <c r="C11" s="8">
        <v>19608</v>
      </c>
      <c r="D11" s="8"/>
      <c r="E11" s="8">
        <v>13220</v>
      </c>
      <c r="F11" s="8" t="e">
        <f>#N/A</f>
        <v>#N/A</v>
      </c>
      <c r="G11" s="2"/>
      <c r="H11" s="2"/>
    </row>
    <row r="12" spans="1:8" x14ac:dyDescent="0.25">
      <c r="A12" s="7" t="s">
        <v>80</v>
      </c>
      <c r="B12" s="8">
        <v>6800</v>
      </c>
      <c r="C12" s="8"/>
      <c r="D12" s="8"/>
      <c r="E12" s="8"/>
      <c r="F12" s="8" t="e">
        <f>#N/A</f>
        <v>#N/A</v>
      </c>
      <c r="G12" s="2"/>
      <c r="H12" s="2"/>
    </row>
    <row r="13" spans="1:8" ht="13.8" thickBot="1" x14ac:dyDescent="0.3">
      <c r="A13" s="7"/>
      <c r="B13" s="40"/>
      <c r="C13" s="40"/>
      <c r="D13" s="40"/>
      <c r="E13" s="40"/>
      <c r="F13" s="8" t="e">
        <f>#N/A</f>
        <v>#N/A</v>
      </c>
      <c r="G13" s="2"/>
      <c r="H13" s="2"/>
    </row>
    <row r="14" spans="1:8" ht="13.8" thickBot="1" x14ac:dyDescent="0.3">
      <c r="A14" s="55" t="s">
        <v>26</v>
      </c>
      <c r="B14" s="56">
        <v>30000</v>
      </c>
      <c r="C14" s="57"/>
      <c r="D14" s="57"/>
      <c r="E14" s="58"/>
      <c r="F14" s="8" t="e">
        <f>#N/A</f>
        <v>#N/A</v>
      </c>
      <c r="G14" s="32"/>
      <c r="H14" s="32"/>
    </row>
    <row r="15" spans="1:8" ht="13.8" thickBot="1" x14ac:dyDescent="0.3">
      <c r="A15" s="55" t="s">
        <v>27</v>
      </c>
      <c r="B15" s="56">
        <v>7500</v>
      </c>
      <c r="C15" s="57"/>
      <c r="D15" s="57"/>
      <c r="E15" s="58"/>
      <c r="F15" s="8" t="e">
        <f>#N/A</f>
        <v>#N/A</v>
      </c>
      <c r="G15" s="32"/>
      <c r="H15" s="32"/>
    </row>
    <row r="16" spans="1:8" x14ac:dyDescent="0.25">
      <c r="A16" s="7"/>
      <c r="B16" s="41"/>
      <c r="C16" s="41"/>
      <c r="D16" s="41"/>
      <c r="E16" s="41"/>
      <c r="F16" s="8" t="e">
        <f>#N/A</f>
        <v>#N/A</v>
      </c>
      <c r="G16" s="2"/>
      <c r="H16" s="2"/>
    </row>
    <row r="17" spans="1:8" x14ac:dyDescent="0.25">
      <c r="A17" s="37" t="s">
        <v>7</v>
      </c>
      <c r="B17" s="8">
        <f>B7-B8-B9-B10-B11-B12-B13-B14-B15</f>
        <v>680208</v>
      </c>
      <c r="C17" s="8">
        <f>C7-C8-C9-C10-C11-C12-C13-C14-C15</f>
        <v>209226</v>
      </c>
      <c r="D17" s="8">
        <f>D7-D8-D9-D10-D11-D12-D13-D14-D15</f>
        <v>378072</v>
      </c>
      <c r="E17" s="8">
        <f>E7-E8-E9-E10-E11-E12-E13-E14-E15</f>
        <v>106136</v>
      </c>
      <c r="F17" s="8" t="e">
        <f>#N/A</f>
        <v>#N/A</v>
      </c>
      <c r="G17" s="2"/>
      <c r="H17" s="2"/>
    </row>
    <row r="18" spans="1:8" x14ac:dyDescent="0.25">
      <c r="A18" s="7"/>
      <c r="B18" s="8"/>
      <c r="C18" s="8"/>
      <c r="D18" s="8"/>
      <c r="E18" s="8"/>
      <c r="F18" s="8" t="e">
        <f>#N/A</f>
        <v>#N/A</v>
      </c>
      <c r="G18" s="2"/>
      <c r="H18" s="2"/>
    </row>
    <row r="19" spans="1:8" x14ac:dyDescent="0.25">
      <c r="A19" s="7" t="s">
        <v>8</v>
      </c>
      <c r="B19" s="8">
        <v>950000</v>
      </c>
      <c r="C19" s="8">
        <v>570000</v>
      </c>
      <c r="D19" s="8">
        <v>420000</v>
      </c>
      <c r="E19" s="8">
        <v>90000</v>
      </c>
      <c r="F19" s="8" t="e">
        <f>#N/A</f>
        <v>#N/A</v>
      </c>
      <c r="G19" s="2"/>
      <c r="H19" s="2"/>
    </row>
    <row r="20" spans="1:8" x14ac:dyDescent="0.25">
      <c r="A20" s="7" t="s">
        <v>9</v>
      </c>
      <c r="B20" s="8"/>
      <c r="C20" s="8"/>
      <c r="D20" s="8"/>
      <c r="E20" s="8"/>
      <c r="F20" s="8" t="e">
        <f>#N/A</f>
        <v>#N/A</v>
      </c>
      <c r="G20" s="2"/>
      <c r="H20" s="2"/>
    </row>
    <row r="21" spans="1:8" x14ac:dyDescent="0.25">
      <c r="A21" s="7" t="s">
        <v>10</v>
      </c>
      <c r="B21" s="8"/>
      <c r="C21" s="8"/>
      <c r="D21" s="8"/>
      <c r="E21" s="8"/>
      <c r="F21" s="8" t="e">
        <f>#N/A</f>
        <v>#N/A</v>
      </c>
      <c r="G21" s="2"/>
      <c r="H21" s="2"/>
    </row>
    <row r="22" spans="1:8" x14ac:dyDescent="0.25">
      <c r="A22" s="7"/>
      <c r="B22" s="8"/>
      <c r="C22" s="8"/>
      <c r="D22" s="8"/>
      <c r="E22" s="8"/>
      <c r="F22" s="8" t="e">
        <f>#N/A</f>
        <v>#N/A</v>
      </c>
      <c r="G22" s="2"/>
      <c r="H22" s="2"/>
    </row>
    <row r="23" spans="1:8" x14ac:dyDescent="0.25">
      <c r="A23" s="7" t="s">
        <v>11</v>
      </c>
      <c r="B23" s="8">
        <f>B17</f>
        <v>680208</v>
      </c>
      <c r="C23" s="8">
        <f>C17</f>
        <v>209226</v>
      </c>
      <c r="D23" s="8">
        <f>D17</f>
        <v>378072</v>
      </c>
      <c r="E23" s="8">
        <f>E17</f>
        <v>106136</v>
      </c>
      <c r="F23" s="8" t="e">
        <f>#N/A</f>
        <v>#N/A</v>
      </c>
      <c r="G23" s="2"/>
      <c r="H23" s="2"/>
    </row>
    <row r="24" spans="1:8" x14ac:dyDescent="0.25">
      <c r="A24" s="7"/>
      <c r="B24" s="8"/>
      <c r="C24" s="8"/>
      <c r="D24" s="8"/>
      <c r="E24" s="8"/>
      <c r="F24" s="8" t="e">
        <f>#N/A</f>
        <v>#N/A</v>
      </c>
      <c r="G24" s="2"/>
      <c r="H24" s="2"/>
    </row>
    <row r="25" spans="1:8" x14ac:dyDescent="0.25">
      <c r="A25" s="37" t="s">
        <v>12</v>
      </c>
      <c r="B25" s="8">
        <f>B19+B20-B23</f>
        <v>269792</v>
      </c>
      <c r="C25" s="8">
        <f>C19+C20-C23</f>
        <v>360774</v>
      </c>
      <c r="D25" s="8">
        <f>D19+D20-D23</f>
        <v>41928</v>
      </c>
      <c r="E25" s="8">
        <f>E19+E20-E23</f>
        <v>-16136</v>
      </c>
      <c r="F25" s="8" t="e">
        <f>#N/A</f>
        <v>#N/A</v>
      </c>
      <c r="G25" s="2"/>
      <c r="H25" s="2"/>
    </row>
    <row r="26" spans="1:8" ht="13.8" thickBot="1" x14ac:dyDescent="0.3">
      <c r="A26" s="7"/>
      <c r="B26" s="40"/>
      <c r="C26" s="40"/>
      <c r="D26" s="40"/>
      <c r="E26" s="40"/>
      <c r="F26" s="8" t="e">
        <f>#N/A</f>
        <v>#N/A</v>
      </c>
      <c r="G26" s="2"/>
      <c r="H26" s="2"/>
    </row>
    <row r="27" spans="1:8" ht="13.8" thickBot="1" x14ac:dyDescent="0.3">
      <c r="A27" s="52" t="s">
        <v>78</v>
      </c>
      <c r="B27" s="56"/>
      <c r="C27" s="57"/>
      <c r="D27" s="57"/>
      <c r="E27" s="58"/>
      <c r="F27" s="8" t="e">
        <f>#N/A</f>
        <v>#N/A</v>
      </c>
      <c r="G27" s="32"/>
      <c r="H27" s="32"/>
    </row>
    <row r="28" spans="1:8" ht="13.8" thickBot="1" x14ac:dyDescent="0.3">
      <c r="A28" s="52" t="s">
        <v>68</v>
      </c>
      <c r="B28" s="56">
        <v>558000</v>
      </c>
      <c r="C28" s="57">
        <v>564000</v>
      </c>
      <c r="D28" s="57">
        <v>275000</v>
      </c>
      <c r="E28" s="58">
        <v>219000</v>
      </c>
      <c r="F28" s="8" t="e">
        <f>#N/A</f>
        <v>#N/A</v>
      </c>
      <c r="G28" s="32"/>
      <c r="H28" s="32"/>
    </row>
    <row r="29" spans="1:8" ht="13.8" thickBot="1" x14ac:dyDescent="0.3">
      <c r="A29" s="52" t="s">
        <v>15</v>
      </c>
      <c r="B29" s="56">
        <v>167000</v>
      </c>
      <c r="C29" s="57">
        <v>155000</v>
      </c>
      <c r="D29" s="57">
        <v>70000</v>
      </c>
      <c r="E29" s="58">
        <v>135000</v>
      </c>
      <c r="F29" s="8" t="e">
        <f>#N/A</f>
        <v>#N/A</v>
      </c>
      <c r="G29" s="32"/>
      <c r="H29" s="32"/>
    </row>
    <row r="30" spans="1:8" ht="13.8" thickBot="1" x14ac:dyDescent="0.3">
      <c r="A30" s="52" t="s">
        <v>16</v>
      </c>
      <c r="B30" s="56">
        <v>120000</v>
      </c>
      <c r="C30" s="57">
        <v>221000</v>
      </c>
      <c r="D30" s="57">
        <v>60000</v>
      </c>
      <c r="E30" s="58">
        <v>106000</v>
      </c>
      <c r="F30" s="8" t="e">
        <f>#N/A</f>
        <v>#N/A</v>
      </c>
      <c r="G30" s="32"/>
      <c r="H30" s="32"/>
    </row>
    <row r="31" spans="1:8" ht="13.8" thickBot="1" x14ac:dyDescent="0.3">
      <c r="A31" s="52" t="s">
        <v>100</v>
      </c>
      <c r="B31" s="56"/>
      <c r="C31" s="57"/>
      <c r="D31" s="57"/>
      <c r="E31" s="58"/>
      <c r="F31" s="8" t="e">
        <f>#N/A</f>
        <v>#N/A</v>
      </c>
      <c r="G31" s="32"/>
      <c r="H31" s="32"/>
    </row>
    <row r="32" spans="1:8" x14ac:dyDescent="0.25">
      <c r="A32" s="37" t="s">
        <v>13</v>
      </c>
      <c r="B32" s="48">
        <f>B25-B27-B28-B29-B30-B31</f>
        <v>-575208</v>
      </c>
      <c r="C32" s="41">
        <f>C25-C27-C28-C29-C30-C31</f>
        <v>-579226</v>
      </c>
      <c r="D32" s="41">
        <f>D25-D27-D28-D29-D30-D31</f>
        <v>-363072</v>
      </c>
      <c r="E32" s="41">
        <f>E25-E27-E28-E29-E30-E31</f>
        <v>-476136</v>
      </c>
      <c r="F32" s="8" t="e">
        <f>#N/A</f>
        <v>#N/A</v>
      </c>
      <c r="G32" s="32"/>
      <c r="H32" s="32"/>
    </row>
    <row r="33" spans="1:8" ht="13.8" thickBot="1" x14ac:dyDescent="0.3">
      <c r="A33" s="7"/>
      <c r="B33" s="49"/>
      <c r="C33" s="45"/>
      <c r="D33" s="45"/>
      <c r="E33" s="45"/>
      <c r="F33" s="8" t="e">
        <f>#N/A</f>
        <v>#N/A</v>
      </c>
      <c r="G33" s="34"/>
      <c r="H33" s="34"/>
    </row>
    <row r="34" spans="1:8" ht="13.8" thickBot="1" x14ac:dyDescent="0.3">
      <c r="A34" s="53" t="s">
        <v>18</v>
      </c>
      <c r="B34" s="42"/>
      <c r="C34" s="43"/>
      <c r="D34" s="43"/>
      <c r="E34" s="44"/>
      <c r="F34" s="8" t="e">
        <f>#N/A</f>
        <v>#N/A</v>
      </c>
      <c r="G34" s="35"/>
      <c r="H34" s="35"/>
    </row>
    <row r="35" spans="1:8" ht="13.8" thickBot="1" x14ac:dyDescent="0.3">
      <c r="A35" s="53" t="s">
        <v>19</v>
      </c>
      <c r="B35" s="42"/>
      <c r="C35" s="43"/>
      <c r="D35" s="43"/>
      <c r="E35" s="44"/>
      <c r="F35" s="8" t="e">
        <f>#N/A</f>
        <v>#N/A</v>
      </c>
      <c r="G35" s="35"/>
      <c r="H35" s="35"/>
    </row>
    <row r="36" spans="1:8" ht="13.8" thickBot="1" x14ac:dyDescent="0.3">
      <c r="A36" s="54" t="s">
        <v>20</v>
      </c>
      <c r="B36" s="42"/>
      <c r="C36" s="43"/>
      <c r="D36" s="43"/>
      <c r="E36" s="44"/>
      <c r="F36" s="8" t="e">
        <f>#N/A</f>
        <v>#N/A</v>
      </c>
      <c r="G36" s="35"/>
      <c r="H36" s="35"/>
    </row>
    <row r="37" spans="1:8" ht="13.8" thickBot="1" x14ac:dyDescent="0.3">
      <c r="A37" s="53" t="s">
        <v>21</v>
      </c>
      <c r="B37" s="42"/>
      <c r="C37" s="43"/>
      <c r="D37" s="43"/>
      <c r="E37" s="44"/>
      <c r="F37" s="8" t="e">
        <f>#N/A</f>
        <v>#N/A</v>
      </c>
      <c r="G37" s="35"/>
      <c r="H37" s="35"/>
    </row>
    <row r="38" spans="1:8" ht="13.8" thickBot="1" x14ac:dyDescent="0.3">
      <c r="A38" s="53" t="s">
        <v>81</v>
      </c>
      <c r="B38" s="42"/>
      <c r="C38" s="43"/>
      <c r="D38" s="43"/>
      <c r="E38" s="44"/>
      <c r="F38" s="8" t="e">
        <f>#N/A</f>
        <v>#N/A</v>
      </c>
      <c r="G38" s="35"/>
      <c r="H38" s="35"/>
    </row>
    <row r="39" spans="1:8" x14ac:dyDescent="0.25">
      <c r="A39" s="51" t="s">
        <v>82</v>
      </c>
      <c r="B39" s="50">
        <f>SUM(B32:B38)</f>
        <v>-575208</v>
      </c>
      <c r="C39" s="46">
        <f>SUM(C32:C38)</f>
        <v>-579226</v>
      </c>
      <c r="D39" s="46">
        <f>SUM(D32:D38)</f>
        <v>-363072</v>
      </c>
      <c r="E39" s="46">
        <f>SUM(E32:E38)</f>
        <v>-476136</v>
      </c>
      <c r="F39" s="8" t="e">
        <f>#N/A</f>
        <v>#N/A</v>
      </c>
      <c r="G39" s="36"/>
      <c r="H39" s="36"/>
    </row>
  </sheetData>
  <customSheetViews>
    <customSheetView guid="{787CEAB0-B665-4DDC-B6D5-0EF4B4179B2C}">
      <selection activeCell="B16" sqref="B16"/>
      <pageMargins left="0.75" right="0.75" top="1" bottom="1" header="0.5" footer="0.5"/>
      <pageSetup orientation="portrait" r:id="rId1"/>
      <headerFooter alignWithMargins="0">
        <oddHeader>&amp;C&amp;A&amp;R&amp;D</oddHeader>
        <oddFooter>&amp;L&amp;Z&amp;C&amp;P&amp;R&amp;F</oddFooter>
      </headerFooter>
    </customSheetView>
    <customSheetView guid="{32FA922B-D311-4A17-9E95-50C57C186216}">
      <selection activeCell="B16" sqref="B16"/>
      <pageMargins left="0.75" right="0.75" top="1" bottom="1" header="0.5" footer="0.5"/>
      <pageSetup orientation="portrait" r:id="rId2"/>
      <headerFooter alignWithMargins="0">
        <oddHeader>&amp;C&amp;A&amp;R&amp;D</oddHeader>
        <oddFooter>&amp;L&amp;Z&amp;C&amp;P&amp;R&amp;F</oddFooter>
      </headerFooter>
    </customSheetView>
    <customSheetView guid="{AD1DD6D4-9126-4937-AE78-38B0663E3739}">
      <selection activeCell="B16" sqref="B16"/>
      <pageMargins left="0.75" right="0.75" top="1" bottom="1" header="0.5" footer="0.5"/>
      <pageSetup orientation="portrait" r:id="rId3"/>
      <headerFooter alignWithMargins="0">
        <oddHeader>&amp;C&amp;A&amp;R&amp;D</oddHeader>
        <oddFooter>&amp;L&amp;Z&amp;C&amp;P&amp;R&amp;F</oddFooter>
      </headerFooter>
    </customSheetView>
    <customSheetView guid="{007B44AF-685B-4B37-9750-B07A99A25CF6}">
      <selection activeCell="B16" sqref="B16"/>
      <pageMargins left="0.75" right="0.75" top="1" bottom="1" header="0.5" footer="0.5"/>
      <pageSetup orientation="portrait" r:id="rId4"/>
      <headerFooter alignWithMargins="0">
        <oddHeader>&amp;C&amp;A&amp;R&amp;D</oddHeader>
        <oddFooter>&amp;L&amp;Z&amp;C&amp;P&amp;R&amp;F</oddFooter>
      </headerFooter>
    </customSheetView>
    <customSheetView guid="{AA02AC12-6E1B-4019-BD01-AFF4D21A6ABD}">
      <selection activeCell="B16" sqref="B16"/>
      <pageMargins left="0.75" right="0.75" top="1" bottom="1" header="0.5" footer="0.5"/>
      <pageSetup orientation="portrait" r:id="rId5"/>
      <headerFooter alignWithMargins="0">
        <oddHeader>&amp;C&amp;A&amp;R&amp;D</oddHeader>
        <oddFooter>&amp;L&amp;Z&amp;C&amp;P&amp;R&amp;F</oddFooter>
      </headerFooter>
    </customSheetView>
    <customSheetView guid="{B148F6D0-D380-41BC-8CCF-9098DBC3211F}">
      <selection activeCell="B16" sqref="B16"/>
      <pageMargins left="0.75" right="0.75" top="1" bottom="1" header="0.5" footer="0.5"/>
      <pageSetup orientation="portrait" r:id="rId6"/>
      <headerFooter alignWithMargins="0">
        <oddHeader>&amp;C&amp;A&amp;R&amp;D</oddHeader>
        <oddFooter>&amp;L&amp;Z&amp;C&amp;P&amp;R&amp;F</oddFooter>
      </headerFooter>
    </customSheetView>
    <customSheetView guid="{A6685E51-6E0B-411A-8D94-6874F1684A20}">
      <selection activeCell="B16" sqref="B16"/>
      <pageMargins left="0.75" right="0.75" top="1" bottom="1" header="0.5" footer="0.5"/>
      <pageSetup orientation="portrait" r:id="rId7"/>
      <headerFooter alignWithMargins="0">
        <oddHeader>&amp;C&amp;A&amp;R&amp;D</oddHeader>
        <oddFooter>&amp;L&amp;Z&amp;C&amp;P&amp;R&amp;F</oddFooter>
      </headerFooter>
    </customSheetView>
  </customSheetViews>
  <phoneticPr fontId="0" type="noConversion"/>
  <pageMargins left="0.75" right="0.75" top="1" bottom="1" header="0.5" footer="0.5"/>
  <pageSetup orientation="portrait" r:id="rId8"/>
  <headerFooter alignWithMargins="0">
    <oddHeader>&amp;C&amp;A&amp;R&amp;D</oddHeader>
    <oddFooter>&amp;L&amp;Z&amp;C&amp;P&amp;R&amp;F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U60"/>
  <sheetViews>
    <sheetView topLeftCell="AA1" workbookViewId="0">
      <selection activeCell="AM1" sqref="AM1"/>
    </sheetView>
  </sheetViews>
  <sheetFormatPr defaultRowHeight="13.2" x14ac:dyDescent="0.25"/>
  <cols>
    <col min="1" max="1" width="20.33203125" customWidth="1"/>
    <col min="2" max="2" width="11.33203125" customWidth="1"/>
    <col min="3" max="3" width="10.88671875" customWidth="1"/>
    <col min="4" max="4" width="12" customWidth="1"/>
    <col min="5" max="5" width="11.88671875" customWidth="1"/>
    <col min="6" max="6" width="11.6640625" customWidth="1"/>
    <col min="7" max="7" width="12.6640625" customWidth="1"/>
    <col min="8" max="8" width="17.44140625" customWidth="1"/>
    <col min="9" max="9" width="16.109375" customWidth="1"/>
    <col min="10" max="10" width="20.44140625" customWidth="1"/>
    <col min="11" max="11" width="10.44140625" customWidth="1"/>
    <col min="12" max="12" width="9.33203125" customWidth="1"/>
    <col min="13" max="13" width="9.5546875" customWidth="1"/>
    <col min="14" max="14" width="10.33203125" customWidth="1"/>
    <col min="15" max="15" width="10.6640625" customWidth="1"/>
    <col min="16" max="16" width="9.6640625" customWidth="1"/>
    <col min="17" max="17" width="9" customWidth="1"/>
    <col min="19" max="19" width="9.33203125" customWidth="1"/>
    <col min="21" max="21" width="14.109375" customWidth="1"/>
    <col min="22" max="22" width="21" customWidth="1"/>
    <col min="23" max="23" width="12.5546875" customWidth="1"/>
    <col min="24" max="24" width="12.109375" customWidth="1"/>
    <col min="25" max="26" width="10.88671875" customWidth="1"/>
    <col min="27" max="27" width="11.88671875" customWidth="1"/>
    <col min="28" max="28" width="12.33203125" customWidth="1"/>
    <col min="29" max="29" width="10.88671875" customWidth="1"/>
    <col min="30" max="30" width="13.33203125" customWidth="1"/>
    <col min="31" max="31" width="16.109375" customWidth="1"/>
    <col min="32" max="32" width="20.109375" customWidth="1"/>
    <col min="33" max="33" width="15.109375" customWidth="1"/>
    <col min="34" max="34" width="13.88671875" customWidth="1"/>
    <col min="35" max="35" width="13.5546875" customWidth="1"/>
    <col min="36" max="36" width="14.33203125" customWidth="1"/>
    <col min="37" max="37" width="13.6640625" customWidth="1"/>
    <col min="38" max="38" width="12" customWidth="1"/>
    <col min="39" max="39" width="14.33203125" customWidth="1"/>
    <col min="40" max="40" width="13.6640625" customWidth="1"/>
    <col min="41" max="41" width="20.88671875" customWidth="1"/>
    <col min="42" max="42" width="12.109375" customWidth="1"/>
    <col min="43" max="43" width="11.5546875" customWidth="1"/>
    <col min="44" max="44" width="12.6640625" customWidth="1"/>
    <col min="45" max="46" width="11.6640625" customWidth="1"/>
    <col min="47" max="47" width="16.5546875" customWidth="1"/>
  </cols>
  <sheetData>
    <row r="1" spans="1:47" x14ac:dyDescent="0.25">
      <c r="A1" s="1" t="s">
        <v>0</v>
      </c>
      <c r="B1" s="11" t="s">
        <v>28</v>
      </c>
      <c r="C1" s="11" t="s">
        <v>29</v>
      </c>
      <c r="D1" s="11" t="s">
        <v>30</v>
      </c>
      <c r="E1" s="11" t="s">
        <v>31</v>
      </c>
      <c r="F1" s="11" t="s">
        <v>32</v>
      </c>
      <c r="G1" s="11" t="s">
        <v>33</v>
      </c>
      <c r="H1" s="11" t="s">
        <v>34</v>
      </c>
      <c r="I1" s="12" t="s">
        <v>35</v>
      </c>
      <c r="J1" s="1" t="s">
        <v>0</v>
      </c>
      <c r="K1" s="11" t="s">
        <v>36</v>
      </c>
      <c r="L1" s="11" t="s">
        <v>37</v>
      </c>
      <c r="M1" s="11" t="s">
        <v>38</v>
      </c>
      <c r="N1" s="11" t="s">
        <v>39</v>
      </c>
      <c r="O1" s="11" t="s">
        <v>40</v>
      </c>
      <c r="P1" s="13" t="s">
        <v>41</v>
      </c>
      <c r="Q1" s="13" t="s">
        <v>42</v>
      </c>
      <c r="R1" s="13" t="s">
        <v>43</v>
      </c>
      <c r="S1" s="13" t="s">
        <v>44</v>
      </c>
      <c r="T1" s="13" t="s">
        <v>45</v>
      </c>
      <c r="U1" s="13" t="s">
        <v>46</v>
      </c>
      <c r="V1" s="1" t="s">
        <v>0</v>
      </c>
      <c r="W1" s="13" t="s">
        <v>47</v>
      </c>
      <c r="X1" s="13" t="s">
        <v>48</v>
      </c>
      <c r="Y1" s="13" t="s">
        <v>49</v>
      </c>
      <c r="Z1" s="13" t="s">
        <v>50</v>
      </c>
      <c r="AA1" s="13" t="s">
        <v>51</v>
      </c>
      <c r="AB1" s="13" t="s">
        <v>52</v>
      </c>
      <c r="AC1" s="13" t="s">
        <v>53</v>
      </c>
      <c r="AD1" s="13" t="s">
        <v>54</v>
      </c>
      <c r="AE1" s="13" t="s">
        <v>55</v>
      </c>
      <c r="AF1" s="1" t="s">
        <v>0</v>
      </c>
      <c r="AG1" s="13" t="s">
        <v>56</v>
      </c>
      <c r="AH1" s="13" t="s">
        <v>57</v>
      </c>
      <c r="AI1" s="13" t="s">
        <v>58</v>
      </c>
      <c r="AJ1" s="13" t="s">
        <v>59</v>
      </c>
      <c r="AK1" s="13" t="s">
        <v>60</v>
      </c>
      <c r="AL1" s="13" t="s">
        <v>61</v>
      </c>
      <c r="AM1" s="13" t="s">
        <v>62</v>
      </c>
      <c r="AN1" s="13" t="s">
        <v>63</v>
      </c>
      <c r="AO1" s="1" t="s">
        <v>0</v>
      </c>
      <c r="AP1" s="13" t="s">
        <v>64</v>
      </c>
      <c r="AQ1" s="13" t="s">
        <v>65</v>
      </c>
      <c r="AR1" s="13" t="s">
        <v>66</v>
      </c>
      <c r="AS1" s="13" t="s">
        <v>67</v>
      </c>
      <c r="AT1" s="11" t="s">
        <v>94</v>
      </c>
      <c r="AU1" s="3" t="s">
        <v>1</v>
      </c>
    </row>
    <row r="2" spans="1:47" x14ac:dyDescent="0.25">
      <c r="A2" t="s">
        <v>2</v>
      </c>
      <c r="B2" s="2">
        <v>244551</v>
      </c>
      <c r="C2" s="2">
        <v>178284</v>
      </c>
      <c r="D2" s="2">
        <v>40054</v>
      </c>
      <c r="E2" s="2">
        <v>210326</v>
      </c>
      <c r="F2" s="2">
        <v>203875</v>
      </c>
      <c r="G2" s="2">
        <v>210496</v>
      </c>
      <c r="H2" s="2">
        <v>239785</v>
      </c>
      <c r="I2" s="2">
        <v>522062</v>
      </c>
      <c r="J2" t="s">
        <v>2</v>
      </c>
      <c r="K2" s="2">
        <v>437700</v>
      </c>
      <c r="L2" s="2">
        <v>582145</v>
      </c>
      <c r="M2" s="2">
        <v>157502</v>
      </c>
      <c r="N2" s="2">
        <v>400264</v>
      </c>
      <c r="O2" s="2">
        <v>786858</v>
      </c>
      <c r="P2" s="2">
        <v>194105</v>
      </c>
      <c r="Q2" s="2">
        <v>181778</v>
      </c>
      <c r="R2" s="2">
        <v>238841</v>
      </c>
      <c r="S2" s="2">
        <v>192747</v>
      </c>
      <c r="T2" s="2">
        <v>80966</v>
      </c>
      <c r="U2" s="2">
        <v>679533</v>
      </c>
      <c r="V2" t="s">
        <v>2</v>
      </c>
      <c r="W2" s="2">
        <v>916187</v>
      </c>
      <c r="X2" s="2">
        <v>455035</v>
      </c>
      <c r="Y2" s="2">
        <v>327138</v>
      </c>
      <c r="Z2" s="2">
        <v>175938</v>
      </c>
      <c r="AA2" s="2">
        <v>145218</v>
      </c>
      <c r="AB2" s="2">
        <v>324356</v>
      </c>
      <c r="AC2" s="2">
        <v>573515</v>
      </c>
      <c r="AD2" s="2">
        <v>8481</v>
      </c>
      <c r="AE2" s="2">
        <v>14132</v>
      </c>
      <c r="AF2" t="s">
        <v>2</v>
      </c>
      <c r="AG2" s="2">
        <v>329156</v>
      </c>
      <c r="AH2" s="2">
        <v>151248</v>
      </c>
      <c r="AI2" s="2">
        <v>256292</v>
      </c>
      <c r="AJ2" s="2">
        <v>81399</v>
      </c>
      <c r="AK2" s="2">
        <v>336309</v>
      </c>
      <c r="AL2" s="2">
        <v>440581</v>
      </c>
      <c r="AM2" s="2">
        <v>169663</v>
      </c>
      <c r="AN2" s="2">
        <v>101079</v>
      </c>
      <c r="AO2" t="s">
        <v>2</v>
      </c>
      <c r="AP2" s="2">
        <v>426784</v>
      </c>
      <c r="AQ2" s="2">
        <v>40690</v>
      </c>
      <c r="AR2" s="2">
        <v>60091</v>
      </c>
      <c r="AS2" s="2">
        <v>108935</v>
      </c>
      <c r="AT2" s="2"/>
      <c r="AU2" s="2" t="e">
        <f>#N/A</f>
        <v>#N/A</v>
      </c>
    </row>
    <row r="3" spans="1:47" x14ac:dyDescent="0.25">
      <c r="A3" t="s">
        <v>3</v>
      </c>
      <c r="B3" s="2">
        <v>16319</v>
      </c>
      <c r="C3" s="2">
        <v>15797</v>
      </c>
      <c r="D3" s="2">
        <v>21722</v>
      </c>
      <c r="E3" s="2">
        <v>1137</v>
      </c>
      <c r="F3" s="2"/>
      <c r="G3" s="2"/>
      <c r="H3" s="2"/>
      <c r="I3" s="2"/>
      <c r="J3" t="s">
        <v>3</v>
      </c>
      <c r="K3" s="2">
        <v>42465</v>
      </c>
      <c r="L3" s="2">
        <v>199897</v>
      </c>
      <c r="M3" s="2"/>
      <c r="N3" s="2">
        <v>7726</v>
      </c>
      <c r="O3" s="2">
        <v>28935</v>
      </c>
      <c r="P3" s="2"/>
      <c r="Q3" s="2"/>
      <c r="R3" s="2">
        <v>151</v>
      </c>
      <c r="S3" s="2">
        <v>13181</v>
      </c>
      <c r="T3" s="2"/>
      <c r="U3" s="2"/>
      <c r="V3" t="s">
        <v>3</v>
      </c>
      <c r="W3" s="2"/>
      <c r="X3" s="2">
        <v>170909</v>
      </c>
      <c r="Y3" s="2">
        <v>30734</v>
      </c>
      <c r="Z3" s="2">
        <v>57711</v>
      </c>
      <c r="AA3" s="2">
        <v>1839</v>
      </c>
      <c r="AB3" s="2"/>
      <c r="AC3" s="2">
        <v>209046</v>
      </c>
      <c r="AD3" s="2"/>
      <c r="AE3" s="2">
        <v>15134</v>
      </c>
      <c r="AF3" t="s">
        <v>3</v>
      </c>
      <c r="AG3" s="2">
        <v>11299</v>
      </c>
      <c r="AH3" s="2"/>
      <c r="AI3" s="2">
        <v>11600</v>
      </c>
      <c r="AJ3" s="2"/>
      <c r="AK3" s="2"/>
      <c r="AL3" s="2">
        <v>12563</v>
      </c>
      <c r="AM3" s="2"/>
      <c r="AN3" s="2"/>
      <c r="AO3" t="s">
        <v>3</v>
      </c>
      <c r="AP3" s="2">
        <v>15724</v>
      </c>
      <c r="AQ3" s="2">
        <v>31868</v>
      </c>
      <c r="AR3" s="2">
        <v>23093</v>
      </c>
      <c r="AS3" s="2">
        <v>196</v>
      </c>
      <c r="AT3" s="2">
        <v>1793</v>
      </c>
      <c r="AU3" s="2" t="e">
        <f>#N/A</f>
        <v>#N/A</v>
      </c>
    </row>
    <row r="4" spans="1:47" x14ac:dyDescent="0.25">
      <c r="A4" t="s">
        <v>4</v>
      </c>
      <c r="B4" s="2"/>
      <c r="C4" s="2"/>
      <c r="D4" s="2">
        <v>102697</v>
      </c>
      <c r="E4" s="2"/>
      <c r="F4" s="2">
        <v>95645</v>
      </c>
      <c r="G4" s="2"/>
      <c r="H4" s="2"/>
      <c r="I4" s="2">
        <v>1985</v>
      </c>
      <c r="J4" t="s">
        <v>4</v>
      </c>
      <c r="K4" s="2">
        <v>21822</v>
      </c>
      <c r="L4" s="2">
        <v>6668</v>
      </c>
      <c r="M4" s="2"/>
      <c r="N4" s="2">
        <v>5033</v>
      </c>
      <c r="O4" s="2">
        <v>15187</v>
      </c>
      <c r="P4" s="2">
        <v>73213</v>
      </c>
      <c r="Q4" s="2"/>
      <c r="R4" s="2">
        <v>27223</v>
      </c>
      <c r="S4" s="2">
        <v>868</v>
      </c>
      <c r="T4" s="2"/>
      <c r="U4" s="2"/>
      <c r="V4" t="s">
        <v>4</v>
      </c>
      <c r="W4" s="2"/>
      <c r="X4" s="2">
        <v>7391</v>
      </c>
      <c r="Y4" s="2">
        <v>2136</v>
      </c>
      <c r="Z4" s="2"/>
      <c r="AA4" s="2">
        <v>2843</v>
      </c>
      <c r="AB4" s="2">
        <v>3369</v>
      </c>
      <c r="AC4" s="2">
        <v>4962</v>
      </c>
      <c r="AD4" s="2"/>
      <c r="AE4" s="2"/>
      <c r="AF4" t="s">
        <v>4</v>
      </c>
      <c r="AG4" s="2">
        <v>2494</v>
      </c>
      <c r="AH4" s="2"/>
      <c r="AI4" s="2">
        <v>701</v>
      </c>
      <c r="AJ4" s="2">
        <v>3373</v>
      </c>
      <c r="AK4" s="2"/>
      <c r="AL4" s="2">
        <v>58542</v>
      </c>
      <c r="AM4" s="2">
        <v>8480</v>
      </c>
      <c r="AN4" s="2">
        <v>35359</v>
      </c>
      <c r="AO4" t="s">
        <v>4</v>
      </c>
      <c r="AP4" s="2">
        <v>77999</v>
      </c>
      <c r="AQ4" s="2">
        <v>1640</v>
      </c>
      <c r="AR4" s="2"/>
      <c r="AS4" s="2">
        <v>35781</v>
      </c>
      <c r="AT4" s="2"/>
      <c r="AU4" s="2" t="e">
        <f>#N/A</f>
        <v>#N/A</v>
      </c>
    </row>
    <row r="5" spans="1:47" x14ac:dyDescent="0.25">
      <c r="A5" t="s">
        <v>5</v>
      </c>
      <c r="B5" s="2"/>
      <c r="C5" s="2"/>
      <c r="D5" s="2">
        <v>81</v>
      </c>
      <c r="E5" s="2"/>
      <c r="F5" s="2"/>
      <c r="G5" s="2"/>
      <c r="H5" s="2"/>
      <c r="I5" s="2"/>
      <c r="J5" t="s">
        <v>5</v>
      </c>
      <c r="K5" s="2">
        <v>101</v>
      </c>
      <c r="L5" s="2"/>
      <c r="M5" s="2"/>
      <c r="N5" s="2">
        <v>535</v>
      </c>
      <c r="O5" s="2">
        <v>20</v>
      </c>
      <c r="P5" s="2">
        <v>2498</v>
      </c>
      <c r="Q5" s="2"/>
      <c r="R5" s="2"/>
      <c r="S5" s="2">
        <v>101</v>
      </c>
      <c r="T5" s="2"/>
      <c r="U5" s="2"/>
      <c r="V5" t="s">
        <v>5</v>
      </c>
      <c r="W5" s="2">
        <v>85932</v>
      </c>
      <c r="X5" s="2">
        <v>441</v>
      </c>
      <c r="Y5" s="2">
        <v>309</v>
      </c>
      <c r="Z5" s="2">
        <v>6</v>
      </c>
      <c r="AA5" s="2"/>
      <c r="AB5" s="2"/>
      <c r="AC5" s="2">
        <v>850</v>
      </c>
      <c r="AD5" s="2"/>
      <c r="AE5" s="2"/>
      <c r="AF5" t="s">
        <v>5</v>
      </c>
      <c r="AG5" s="2">
        <v>6525</v>
      </c>
      <c r="AH5" s="2"/>
      <c r="AI5" s="2">
        <v>31</v>
      </c>
      <c r="AJ5" s="2">
        <v>225</v>
      </c>
      <c r="AK5" s="2"/>
      <c r="AL5" s="2">
        <v>52</v>
      </c>
      <c r="AM5" s="2">
        <v>189</v>
      </c>
      <c r="AN5" s="2">
        <v>745</v>
      </c>
      <c r="AO5" t="s">
        <v>5</v>
      </c>
      <c r="AP5" s="2">
        <v>138</v>
      </c>
      <c r="AQ5" s="2"/>
      <c r="AR5" s="2"/>
      <c r="AS5" s="2"/>
      <c r="AT5" s="2"/>
      <c r="AU5" s="2" t="e">
        <f>#N/A</f>
        <v>#N/A</v>
      </c>
    </row>
    <row r="6" spans="1:47" x14ac:dyDescent="0.25">
      <c r="A6" t="s">
        <v>77</v>
      </c>
      <c r="B6" s="2"/>
      <c r="C6" s="2"/>
      <c r="D6" s="2"/>
      <c r="E6" s="2"/>
      <c r="F6" s="2"/>
      <c r="G6" s="2"/>
      <c r="H6" s="2"/>
      <c r="I6" s="2"/>
      <c r="J6" t="s">
        <v>77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t="s">
        <v>77</v>
      </c>
      <c r="W6" s="2"/>
      <c r="X6" s="2"/>
      <c r="Y6" s="2"/>
      <c r="Z6" s="2"/>
      <c r="AA6" s="2"/>
      <c r="AB6" s="2"/>
      <c r="AC6" s="2"/>
      <c r="AD6" s="2"/>
      <c r="AE6" s="2"/>
      <c r="AF6" t="s">
        <v>77</v>
      </c>
      <c r="AG6" s="2"/>
      <c r="AH6" s="2"/>
      <c r="AI6" s="2"/>
      <c r="AJ6" s="2"/>
      <c r="AK6" s="2"/>
      <c r="AL6" s="2"/>
      <c r="AM6" s="2"/>
      <c r="AN6" s="2"/>
      <c r="AO6" t="s">
        <v>77</v>
      </c>
      <c r="AP6" s="2"/>
      <c r="AQ6" s="2"/>
      <c r="AR6" s="2"/>
      <c r="AS6" s="2"/>
      <c r="AT6" s="2"/>
      <c r="AU6" s="2" t="e">
        <f>#N/A</f>
        <v>#N/A</v>
      </c>
    </row>
    <row r="7" spans="1:47" x14ac:dyDescent="0.25">
      <c r="A7" s="1" t="s">
        <v>6</v>
      </c>
      <c r="B7" s="2">
        <f>SUM(B2:B6)</f>
        <v>260870</v>
      </c>
      <c r="C7" s="2" t="e">
        <f>#N/A</f>
        <v>#N/A</v>
      </c>
      <c r="D7" s="2" t="e">
        <f>#N/A</f>
        <v>#N/A</v>
      </c>
      <c r="E7" s="2" t="e">
        <f>#N/A</f>
        <v>#N/A</v>
      </c>
      <c r="F7" s="2" t="e">
        <f>#N/A</f>
        <v>#N/A</v>
      </c>
      <c r="G7" s="2" t="e">
        <f>#N/A</f>
        <v>#N/A</v>
      </c>
      <c r="H7" s="2" t="e">
        <f>#N/A</f>
        <v>#N/A</v>
      </c>
      <c r="I7" s="2" t="e">
        <f>#N/A</f>
        <v>#N/A</v>
      </c>
      <c r="J7" s="1" t="s">
        <v>6</v>
      </c>
      <c r="K7" s="2">
        <f>SUM(K2:K6)</f>
        <v>502088</v>
      </c>
      <c r="L7" s="2" t="e">
        <f>#N/A</f>
        <v>#N/A</v>
      </c>
      <c r="M7" s="2" t="e">
        <f>#N/A</f>
        <v>#N/A</v>
      </c>
      <c r="N7" s="2" t="e">
        <f>#N/A</f>
        <v>#N/A</v>
      </c>
      <c r="O7" s="2" t="e">
        <f>#N/A</f>
        <v>#N/A</v>
      </c>
      <c r="P7" s="2" t="e">
        <f>#N/A</f>
        <v>#N/A</v>
      </c>
      <c r="Q7" s="2" t="e">
        <f>#N/A</f>
        <v>#N/A</v>
      </c>
      <c r="R7" s="2" t="e">
        <f>#N/A</f>
        <v>#N/A</v>
      </c>
      <c r="S7" s="2" t="e">
        <f>#N/A</f>
        <v>#N/A</v>
      </c>
      <c r="T7" s="2" t="e">
        <f>#N/A</f>
        <v>#N/A</v>
      </c>
      <c r="U7" s="2" t="e">
        <f>#N/A</f>
        <v>#N/A</v>
      </c>
      <c r="V7" s="1" t="s">
        <v>6</v>
      </c>
      <c r="W7" s="2">
        <f>SUM(W2:W6)</f>
        <v>1002119</v>
      </c>
      <c r="X7" s="2" t="e">
        <f>#N/A</f>
        <v>#N/A</v>
      </c>
      <c r="Y7" s="2" t="e">
        <f>#N/A</f>
        <v>#N/A</v>
      </c>
      <c r="Z7" s="2" t="e">
        <f>#N/A</f>
        <v>#N/A</v>
      </c>
      <c r="AA7" s="2" t="e">
        <f>#N/A</f>
        <v>#N/A</v>
      </c>
      <c r="AB7" s="2" t="e">
        <f>#N/A</f>
        <v>#N/A</v>
      </c>
      <c r="AC7" s="2" t="e">
        <f>#N/A</f>
        <v>#N/A</v>
      </c>
      <c r="AD7" s="2" t="e">
        <f>#N/A</f>
        <v>#N/A</v>
      </c>
      <c r="AE7" s="2" t="e">
        <f>#N/A</f>
        <v>#N/A</v>
      </c>
      <c r="AF7" s="1" t="s">
        <v>6</v>
      </c>
      <c r="AG7" s="2">
        <f>SUM(AG2:AG6)</f>
        <v>349474</v>
      </c>
      <c r="AH7" s="2" t="e">
        <f>#N/A</f>
        <v>#N/A</v>
      </c>
      <c r="AI7" s="2" t="e">
        <f>#N/A</f>
        <v>#N/A</v>
      </c>
      <c r="AJ7" s="2" t="e">
        <f>#N/A</f>
        <v>#N/A</v>
      </c>
      <c r="AK7" s="2" t="e">
        <f>#N/A</f>
        <v>#N/A</v>
      </c>
      <c r="AL7" s="2" t="e">
        <f>#N/A</f>
        <v>#N/A</v>
      </c>
      <c r="AM7" s="2" t="e">
        <f>#N/A</f>
        <v>#N/A</v>
      </c>
      <c r="AN7" s="2" t="e">
        <f>#N/A</f>
        <v>#N/A</v>
      </c>
      <c r="AO7" s="1" t="s">
        <v>6</v>
      </c>
      <c r="AP7" s="2">
        <f>SUM(AP1:AP5)</f>
        <v>520645</v>
      </c>
      <c r="AQ7" s="2">
        <f>SUM(AQ1:AQ5)</f>
        <v>74198</v>
      </c>
      <c r="AR7" s="2">
        <f>SUM(AR1:AR5)</f>
        <v>83184</v>
      </c>
      <c r="AS7" s="2">
        <f>SUM(AS1:AS5)</f>
        <v>144912</v>
      </c>
      <c r="AT7" s="2">
        <f>SUM(AT1:AT5)</f>
        <v>1793</v>
      </c>
      <c r="AU7" s="2" t="e">
        <f>#N/A</f>
        <v>#N/A</v>
      </c>
    </row>
    <row r="8" spans="1:47" x14ac:dyDescent="0.25">
      <c r="A8" t="s">
        <v>99</v>
      </c>
      <c r="B8" s="2"/>
      <c r="C8" s="2"/>
      <c r="D8" s="2"/>
      <c r="E8" s="2"/>
      <c r="F8" s="2"/>
      <c r="G8" s="2"/>
      <c r="H8" s="2"/>
      <c r="I8" s="2"/>
      <c r="J8" t="s">
        <v>99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t="s">
        <v>99</v>
      </c>
      <c r="W8" s="2"/>
      <c r="X8" s="2"/>
      <c r="Y8" s="2">
        <v>90000</v>
      </c>
      <c r="Z8" s="2">
        <v>190000</v>
      </c>
      <c r="AA8" s="2">
        <v>70000</v>
      </c>
      <c r="AB8" s="2"/>
      <c r="AC8" s="2"/>
      <c r="AD8" s="2"/>
      <c r="AE8" s="2"/>
      <c r="AF8" t="s">
        <v>99</v>
      </c>
      <c r="AG8" s="2">
        <v>130000</v>
      </c>
      <c r="AH8" s="2"/>
      <c r="AI8" s="2">
        <v>110000</v>
      </c>
      <c r="AJ8" s="2"/>
      <c r="AK8" s="2"/>
      <c r="AL8" s="2"/>
      <c r="AM8" s="2"/>
      <c r="AN8" s="2"/>
      <c r="AO8" t="s">
        <v>99</v>
      </c>
      <c r="AP8" s="2"/>
      <c r="AQ8" s="2"/>
      <c r="AR8" s="2"/>
      <c r="AS8" s="2"/>
      <c r="AT8" s="2">
        <v>-590000</v>
      </c>
      <c r="AU8" s="2" t="e">
        <f>#N/A</f>
        <v>#N/A</v>
      </c>
    </row>
    <row r="9" spans="1:47" x14ac:dyDescent="0.25">
      <c r="A9" t="s">
        <v>75</v>
      </c>
      <c r="B9" s="2"/>
      <c r="C9" s="2"/>
      <c r="D9" s="2"/>
      <c r="E9" s="2"/>
      <c r="F9" s="2"/>
      <c r="G9" s="2"/>
      <c r="H9" s="2"/>
      <c r="I9" s="2"/>
      <c r="J9" t="s">
        <v>91</v>
      </c>
      <c r="K9" s="2">
        <v>130000</v>
      </c>
      <c r="L9" s="2"/>
      <c r="M9" s="2"/>
      <c r="N9" s="2"/>
      <c r="O9" s="2"/>
      <c r="P9" s="2">
        <v>-130000</v>
      </c>
      <c r="Q9" s="2"/>
      <c r="R9" s="2"/>
      <c r="S9" s="2">
        <v>45000</v>
      </c>
      <c r="T9" s="2"/>
      <c r="U9" s="2">
        <v>-70000</v>
      </c>
      <c r="V9" t="s">
        <v>91</v>
      </c>
      <c r="W9" s="2"/>
      <c r="X9" s="2"/>
      <c r="Y9" s="2"/>
      <c r="Z9" s="2"/>
      <c r="AA9" s="2"/>
      <c r="AB9" s="2"/>
      <c r="AC9" s="2"/>
      <c r="AD9" s="2"/>
      <c r="AE9" s="2"/>
      <c r="AF9" t="s">
        <v>75</v>
      </c>
      <c r="AG9" s="2"/>
      <c r="AH9" s="2"/>
      <c r="AI9" s="2"/>
      <c r="AJ9" s="2"/>
      <c r="AK9" s="2"/>
      <c r="AL9" s="2"/>
      <c r="AM9" s="2"/>
      <c r="AN9" s="2"/>
      <c r="AO9" t="s">
        <v>92</v>
      </c>
      <c r="AP9" s="2"/>
      <c r="AQ9" s="2"/>
      <c r="AR9" s="2"/>
      <c r="AS9" s="2"/>
      <c r="AT9" s="2"/>
      <c r="AU9" s="2" t="e">
        <f>#N/A</f>
        <v>#N/A</v>
      </c>
    </row>
    <row r="10" spans="1:47" x14ac:dyDescent="0.25">
      <c r="A10" t="s">
        <v>98</v>
      </c>
      <c r="B10" s="2"/>
      <c r="C10" s="2">
        <v>45000</v>
      </c>
      <c r="D10" s="2">
        <v>38000</v>
      </c>
      <c r="E10" s="2">
        <v>40000</v>
      </c>
      <c r="F10" s="2">
        <v>5000</v>
      </c>
      <c r="G10" s="2"/>
      <c r="H10" s="2"/>
      <c r="I10" s="2">
        <v>30000</v>
      </c>
      <c r="J10" t="s">
        <v>98</v>
      </c>
      <c r="K10" s="2">
        <v>130000</v>
      </c>
      <c r="L10" s="2">
        <v>145000</v>
      </c>
      <c r="M10" s="2"/>
      <c r="N10" s="2"/>
      <c r="O10" s="2">
        <v>135000</v>
      </c>
      <c r="P10" s="2"/>
      <c r="Q10" s="2"/>
      <c r="R10" s="2">
        <v>30000</v>
      </c>
      <c r="S10" s="2">
        <v>5000</v>
      </c>
      <c r="T10" s="2"/>
      <c r="U10" s="2"/>
      <c r="V10" t="s">
        <v>98</v>
      </c>
      <c r="W10" s="2">
        <v>-978000</v>
      </c>
      <c r="X10" s="2"/>
      <c r="Y10" s="2"/>
      <c r="Z10" s="2">
        <v>75000</v>
      </c>
      <c r="AA10" s="2">
        <v>70000</v>
      </c>
      <c r="AB10" s="2"/>
      <c r="AC10" s="2"/>
      <c r="AD10" s="2">
        <v>30000</v>
      </c>
      <c r="AE10" s="2">
        <v>40000</v>
      </c>
      <c r="AF10" t="s">
        <v>98</v>
      </c>
      <c r="AG10" s="2">
        <v>60000</v>
      </c>
      <c r="AH10" s="2"/>
      <c r="AI10" s="2">
        <v>60000</v>
      </c>
      <c r="AJ10" s="2"/>
      <c r="AK10" s="2"/>
      <c r="AL10" s="2"/>
      <c r="AM10" s="2"/>
      <c r="AN10" s="2"/>
      <c r="AO10" t="s">
        <v>98</v>
      </c>
      <c r="AP10" s="2">
        <v>40000</v>
      </c>
      <c r="AQ10" s="2"/>
      <c r="AR10" s="2"/>
      <c r="AS10" s="2"/>
      <c r="AT10" s="2"/>
      <c r="AU10" s="2" t="e">
        <f>#N/A</f>
        <v>#N/A</v>
      </c>
    </row>
    <row r="11" spans="1:47" x14ac:dyDescent="0.25">
      <c r="A11" t="s">
        <v>72</v>
      </c>
      <c r="B11" s="2"/>
      <c r="C11" s="2">
        <v>50000</v>
      </c>
      <c r="D11" s="2"/>
      <c r="E11" s="2">
        <v>90760</v>
      </c>
      <c r="F11" s="2">
        <v>47000</v>
      </c>
      <c r="G11" s="2"/>
      <c r="H11" s="2"/>
      <c r="I11" s="2">
        <v>208000</v>
      </c>
      <c r="J11" t="s">
        <v>72</v>
      </c>
      <c r="K11" s="2">
        <v>147000</v>
      </c>
      <c r="L11" s="2">
        <v>347000</v>
      </c>
      <c r="M11" s="2">
        <v>50000</v>
      </c>
      <c r="N11" s="2">
        <v>50000</v>
      </c>
      <c r="O11" s="2">
        <v>345000</v>
      </c>
      <c r="P11" s="2"/>
      <c r="Q11" s="2"/>
      <c r="R11" s="2">
        <v>15000</v>
      </c>
      <c r="S11" s="2"/>
      <c r="T11" s="2"/>
      <c r="U11" s="2"/>
      <c r="V11" t="s">
        <v>72</v>
      </c>
      <c r="W11" s="2">
        <v>400000</v>
      </c>
      <c r="X11" s="2"/>
      <c r="Y11" s="2"/>
      <c r="Z11" s="2">
        <v>40000</v>
      </c>
      <c r="AA11" s="2">
        <v>55000</v>
      </c>
      <c r="AB11" s="2">
        <v>83000</v>
      </c>
      <c r="AC11" s="2">
        <v>50000</v>
      </c>
      <c r="AD11" s="2"/>
      <c r="AE11" s="2">
        <v>15000</v>
      </c>
      <c r="AF11" t="s">
        <v>72</v>
      </c>
      <c r="AG11" s="2">
        <v>130000</v>
      </c>
      <c r="AH11" s="2"/>
      <c r="AI11" s="2">
        <v>87000</v>
      </c>
      <c r="AJ11" s="2">
        <v>45000</v>
      </c>
      <c r="AK11" s="2"/>
      <c r="AL11" s="2">
        <v>295000</v>
      </c>
      <c r="AM11" s="2"/>
      <c r="AN11" s="2">
        <v>100000</v>
      </c>
      <c r="AO11" t="s">
        <v>72</v>
      </c>
      <c r="AP11" s="2"/>
      <c r="AQ11" s="2"/>
      <c r="AR11" s="2"/>
      <c r="AS11" s="2"/>
      <c r="AT11" s="2"/>
      <c r="AU11" s="2" t="e">
        <f>#N/A</f>
        <v>#N/A</v>
      </c>
    </row>
    <row r="12" spans="1:47" x14ac:dyDescent="0.25">
      <c r="A12" t="s">
        <v>69</v>
      </c>
      <c r="B12" s="2">
        <v>16000</v>
      </c>
      <c r="C12" s="2">
        <v>11000</v>
      </c>
      <c r="D12" s="2"/>
      <c r="E12" s="2"/>
      <c r="F12" s="2"/>
      <c r="G12" s="2"/>
      <c r="H12" s="2"/>
      <c r="I12" s="2"/>
      <c r="J12" t="s">
        <v>69</v>
      </c>
      <c r="K12" s="2"/>
      <c r="L12" s="2"/>
      <c r="M12" s="2"/>
      <c r="N12" s="2">
        <v>11000</v>
      </c>
      <c r="O12" s="2"/>
      <c r="P12" s="2"/>
      <c r="Q12" s="2"/>
      <c r="R12" s="2"/>
      <c r="S12" s="2"/>
      <c r="T12" s="2"/>
      <c r="U12" s="2"/>
      <c r="V12" t="s">
        <v>69</v>
      </c>
      <c r="W12" s="2"/>
      <c r="X12" s="2">
        <v>110000</v>
      </c>
      <c r="Y12" s="2">
        <v>20000</v>
      </c>
      <c r="Z12" s="2">
        <v>50000</v>
      </c>
      <c r="AA12" s="2"/>
      <c r="AB12" s="2"/>
      <c r="AC12" s="2"/>
      <c r="AD12" s="2"/>
      <c r="AE12" s="2">
        <v>15000</v>
      </c>
      <c r="AF12" t="s">
        <v>69</v>
      </c>
      <c r="AG12" s="2"/>
      <c r="AH12" s="2"/>
      <c r="AI12" s="2"/>
      <c r="AJ12" s="2"/>
      <c r="AK12" s="2"/>
      <c r="AL12" s="2"/>
      <c r="AM12" s="2"/>
      <c r="AN12" s="2"/>
      <c r="AO12" t="s">
        <v>69</v>
      </c>
      <c r="AP12" s="2"/>
      <c r="AQ12" s="2"/>
      <c r="AR12" s="2">
        <v>20000</v>
      </c>
      <c r="AS12" s="2"/>
      <c r="AT12" s="2"/>
      <c r="AU12" s="2" t="e">
        <f>#N/A</f>
        <v>#N/A</v>
      </c>
    </row>
    <row r="13" spans="1:47" x14ac:dyDescent="0.25">
      <c r="A13" t="s">
        <v>74</v>
      </c>
      <c r="B13" s="2"/>
      <c r="C13" s="2"/>
      <c r="D13" s="2">
        <v>50000</v>
      </c>
      <c r="E13" s="2"/>
      <c r="F13" s="2">
        <v>12000</v>
      </c>
      <c r="G13" s="2"/>
      <c r="H13" s="2"/>
      <c r="I13" s="2"/>
      <c r="J13" t="s">
        <v>74</v>
      </c>
      <c r="K13" s="2"/>
      <c r="L13" s="2"/>
      <c r="M13" s="2"/>
      <c r="N13" s="2"/>
      <c r="O13" s="2"/>
      <c r="P13" s="2">
        <v>25000</v>
      </c>
      <c r="Q13" s="2"/>
      <c r="R13" s="2">
        <v>1000</v>
      </c>
      <c r="S13" s="2"/>
      <c r="T13" s="2"/>
      <c r="U13" s="2"/>
      <c r="V13" t="s">
        <v>74</v>
      </c>
      <c r="W13" s="2"/>
      <c r="X13" s="2"/>
      <c r="Y13" s="2"/>
      <c r="Z13" s="2"/>
      <c r="AA13" s="2"/>
      <c r="AB13" s="2"/>
      <c r="AC13" s="2"/>
      <c r="AD13" s="2"/>
      <c r="AE13" s="2"/>
      <c r="AF13" t="s">
        <v>74</v>
      </c>
      <c r="AG13" s="2"/>
      <c r="AH13" s="2"/>
      <c r="AI13" s="2"/>
      <c r="AJ13" s="2"/>
      <c r="AK13" s="2"/>
      <c r="AL13" s="2"/>
      <c r="AM13" s="2"/>
      <c r="AN13" s="2"/>
      <c r="AO13" t="s">
        <v>74</v>
      </c>
      <c r="AP13" s="2">
        <v>16000</v>
      </c>
      <c r="AQ13" s="2"/>
      <c r="AR13" s="2"/>
      <c r="AS13" s="2"/>
      <c r="AT13" s="2"/>
      <c r="AU13" s="2" t="e">
        <f>#N/A</f>
        <v>#N/A</v>
      </c>
    </row>
    <row r="14" spans="1:47" ht="13.8" thickBot="1" x14ac:dyDescent="0.3">
      <c r="A14" t="s">
        <v>73</v>
      </c>
      <c r="B14" s="2"/>
      <c r="C14" s="2"/>
      <c r="D14" s="2"/>
      <c r="E14" s="2"/>
      <c r="F14" s="2"/>
      <c r="G14" s="2"/>
      <c r="H14" s="2"/>
      <c r="I14" s="2"/>
      <c r="J14" t="s">
        <v>73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t="s">
        <v>73</v>
      </c>
      <c r="W14" s="2"/>
      <c r="X14" s="2"/>
      <c r="Y14" s="2"/>
      <c r="Z14" s="2"/>
      <c r="AA14" s="2"/>
      <c r="AB14" s="2"/>
      <c r="AC14" s="2"/>
      <c r="AD14" s="2"/>
      <c r="AE14" s="2"/>
      <c r="AF14" t="s">
        <v>73</v>
      </c>
      <c r="AG14" s="2"/>
      <c r="AH14" s="2"/>
      <c r="AI14" s="2"/>
      <c r="AJ14" s="2"/>
      <c r="AK14" s="2"/>
      <c r="AL14" s="2"/>
      <c r="AM14" s="2"/>
      <c r="AN14" s="2"/>
      <c r="AO14" t="s">
        <v>73</v>
      </c>
      <c r="AP14" s="2"/>
      <c r="AQ14" s="2"/>
      <c r="AR14" s="2"/>
      <c r="AS14" s="2"/>
      <c r="AT14" s="28"/>
      <c r="AU14" s="2" t="e">
        <f>#N/A</f>
        <v>#N/A</v>
      </c>
    </row>
    <row r="15" spans="1:47" ht="13.8" thickBot="1" x14ac:dyDescent="0.3">
      <c r="A15" s="10" t="s">
        <v>26</v>
      </c>
      <c r="B15" s="4"/>
      <c r="C15" s="5"/>
      <c r="D15" s="5">
        <v>8000</v>
      </c>
      <c r="E15" s="5"/>
      <c r="F15" s="5"/>
      <c r="G15" s="5"/>
      <c r="H15" s="5"/>
      <c r="I15" s="6"/>
      <c r="J15" s="10" t="s">
        <v>26</v>
      </c>
      <c r="K15" s="4">
        <v>15000</v>
      </c>
      <c r="L15" s="5"/>
      <c r="M15" s="5"/>
      <c r="N15" s="5"/>
      <c r="O15" s="5">
        <v>28935</v>
      </c>
      <c r="P15" s="5"/>
      <c r="Q15" s="5"/>
      <c r="R15" s="5"/>
      <c r="S15" s="5"/>
      <c r="T15" s="5"/>
      <c r="U15" s="6"/>
      <c r="V15" s="10" t="s">
        <v>26</v>
      </c>
      <c r="W15" s="4"/>
      <c r="X15" s="5">
        <v>40000</v>
      </c>
      <c r="Y15" s="5"/>
      <c r="Z15" s="5"/>
      <c r="AA15" s="5"/>
      <c r="AB15" s="5"/>
      <c r="AC15" s="5"/>
      <c r="AD15" s="5"/>
      <c r="AE15" s="6"/>
      <c r="AF15" s="10" t="s">
        <v>26</v>
      </c>
      <c r="AG15" s="4"/>
      <c r="AH15" s="5"/>
      <c r="AI15" s="5">
        <v>10000</v>
      </c>
      <c r="AJ15" s="5"/>
      <c r="AK15" s="5"/>
      <c r="AL15" s="5">
        <v>12563</v>
      </c>
      <c r="AM15" s="5"/>
      <c r="AN15" s="6"/>
      <c r="AO15" s="10" t="s">
        <v>26</v>
      </c>
      <c r="AP15" s="4"/>
      <c r="AQ15" s="5">
        <v>2000</v>
      </c>
      <c r="AR15" s="5"/>
      <c r="AS15" s="5"/>
      <c r="AT15" s="5"/>
      <c r="AU15" s="29" t="e">
        <f>#N/A</f>
        <v>#N/A</v>
      </c>
    </row>
    <row r="16" spans="1:47" ht="13.8" thickBot="1" x14ac:dyDescent="0.3">
      <c r="A16" s="10" t="s">
        <v>27</v>
      </c>
      <c r="B16" s="4"/>
      <c r="C16" s="5"/>
      <c r="D16" s="5">
        <v>18000</v>
      </c>
      <c r="E16" s="5"/>
      <c r="F16" s="5"/>
      <c r="G16" s="5"/>
      <c r="H16" s="5"/>
      <c r="I16" s="5"/>
      <c r="J16" s="10" t="s">
        <v>27</v>
      </c>
      <c r="K16" s="4"/>
      <c r="L16" s="5"/>
      <c r="M16" s="5"/>
      <c r="N16" s="5"/>
      <c r="O16" s="5">
        <v>15187</v>
      </c>
      <c r="P16" s="5">
        <v>30000</v>
      </c>
      <c r="Q16" s="5"/>
      <c r="R16" s="5"/>
      <c r="S16" s="5"/>
      <c r="T16" s="5"/>
      <c r="U16" s="6"/>
      <c r="V16" s="10" t="s">
        <v>27</v>
      </c>
      <c r="W16" s="4"/>
      <c r="X16" s="5"/>
      <c r="Y16" s="5"/>
      <c r="Z16" s="5"/>
      <c r="AA16" s="5"/>
      <c r="AB16" s="5"/>
      <c r="AC16" s="5"/>
      <c r="AD16" s="5"/>
      <c r="AE16" s="6"/>
      <c r="AF16" s="10" t="s">
        <v>27</v>
      </c>
      <c r="AG16" s="4"/>
      <c r="AH16" s="5"/>
      <c r="AI16" s="5"/>
      <c r="AJ16" s="5"/>
      <c r="AK16" s="5"/>
      <c r="AL16" s="5">
        <v>15000</v>
      </c>
      <c r="AM16" s="5"/>
      <c r="AN16" s="6"/>
      <c r="AO16" s="10" t="s">
        <v>27</v>
      </c>
      <c r="AP16" s="4">
        <v>2500</v>
      </c>
      <c r="AQ16" s="5">
        <v>1640</v>
      </c>
      <c r="AR16" s="5"/>
      <c r="AS16" s="5"/>
      <c r="AT16" s="5"/>
      <c r="AU16" s="29" t="e">
        <f>#N/A</f>
        <v>#N/A</v>
      </c>
    </row>
    <row r="17" spans="1:47" x14ac:dyDescent="0.25">
      <c r="B17" s="2"/>
      <c r="C17" s="2"/>
      <c r="D17" s="2"/>
      <c r="E17" s="2"/>
      <c r="F17" s="2"/>
      <c r="G17" s="2"/>
      <c r="H17" s="2"/>
      <c r="I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W17" s="2"/>
      <c r="X17" s="2"/>
      <c r="Y17" s="2"/>
      <c r="Z17" s="2"/>
      <c r="AA17" s="2"/>
      <c r="AB17" s="2"/>
      <c r="AC17" s="2"/>
      <c r="AD17" s="2"/>
      <c r="AE17" s="2"/>
      <c r="AG17" s="2"/>
      <c r="AH17" s="2"/>
      <c r="AI17" s="2"/>
      <c r="AJ17" s="2"/>
      <c r="AK17" s="2"/>
      <c r="AL17" s="2"/>
      <c r="AM17" s="2"/>
      <c r="AN17" s="2"/>
      <c r="AP17" s="2"/>
      <c r="AQ17" s="2"/>
      <c r="AR17" s="2"/>
      <c r="AS17" s="2"/>
      <c r="AT17" s="2"/>
      <c r="AU17" s="2" t="e">
        <f>#N/A</f>
        <v>#N/A</v>
      </c>
    </row>
    <row r="18" spans="1:47" x14ac:dyDescent="0.25">
      <c r="A18" s="1" t="s">
        <v>7</v>
      </c>
      <c r="B18" s="2">
        <f>B7-B8-B9-B10-B11-B12-B13-B14-B15-B16</f>
        <v>244870</v>
      </c>
      <c r="C18" s="2" t="e">
        <f>#N/A</f>
        <v>#N/A</v>
      </c>
      <c r="D18" s="2" t="e">
        <f>#N/A</f>
        <v>#N/A</v>
      </c>
      <c r="E18" s="2" t="e">
        <f>#N/A</f>
        <v>#N/A</v>
      </c>
      <c r="F18" s="2" t="e">
        <f>#N/A</f>
        <v>#N/A</v>
      </c>
      <c r="G18" s="2" t="e">
        <f>#N/A</f>
        <v>#N/A</v>
      </c>
      <c r="H18" s="2" t="e">
        <f>#N/A</f>
        <v>#N/A</v>
      </c>
      <c r="I18" s="2" t="e">
        <f>#N/A</f>
        <v>#N/A</v>
      </c>
      <c r="J18" s="2" t="s">
        <v>17</v>
      </c>
      <c r="K18" s="2">
        <f>K7-K8-K9-K10-K11-K12-K13-K14-K15-K16</f>
        <v>80088</v>
      </c>
      <c r="L18" s="2" t="e">
        <f>#N/A</f>
        <v>#N/A</v>
      </c>
      <c r="M18" s="2" t="e">
        <f>#N/A</f>
        <v>#N/A</v>
      </c>
      <c r="N18" s="2" t="e">
        <f>#N/A</f>
        <v>#N/A</v>
      </c>
      <c r="O18" s="2" t="e">
        <f>#N/A</f>
        <v>#N/A</v>
      </c>
      <c r="P18" s="2" t="e">
        <f>#N/A</f>
        <v>#N/A</v>
      </c>
      <c r="Q18" s="2" t="e">
        <f>#N/A</f>
        <v>#N/A</v>
      </c>
      <c r="R18" s="2" t="e">
        <f>#N/A</f>
        <v>#N/A</v>
      </c>
      <c r="S18" s="2" t="e">
        <f>#N/A</f>
        <v>#N/A</v>
      </c>
      <c r="T18" s="2" t="e">
        <f>#N/A</f>
        <v>#N/A</v>
      </c>
      <c r="U18" s="2" t="e">
        <f>#N/A</f>
        <v>#N/A</v>
      </c>
      <c r="V18" s="2" t="s">
        <v>97</v>
      </c>
      <c r="W18" s="2">
        <f>W7-W8-W9-W10-W11-W12-W13-W14-W15-W16</f>
        <v>1580119</v>
      </c>
      <c r="X18" s="2" t="e">
        <f>#N/A</f>
        <v>#N/A</v>
      </c>
      <c r="Y18" s="2" t="e">
        <f>#N/A</f>
        <v>#N/A</v>
      </c>
      <c r="Z18" s="2" t="e">
        <f>#N/A</f>
        <v>#N/A</v>
      </c>
      <c r="AA18" s="2" t="e">
        <f>#N/A</f>
        <v>#N/A</v>
      </c>
      <c r="AB18" s="2" t="e">
        <f>#N/A</f>
        <v>#N/A</v>
      </c>
      <c r="AC18" s="2" t="e">
        <f>#N/A</f>
        <v>#N/A</v>
      </c>
      <c r="AD18" s="2" t="e">
        <f>#N/A</f>
        <v>#N/A</v>
      </c>
      <c r="AE18" s="2" t="e">
        <f>#N/A</f>
        <v>#N/A</v>
      </c>
      <c r="AF18" s="2" t="s">
        <v>7</v>
      </c>
      <c r="AG18" s="2">
        <f>AG7-AG8-AG9-AG10-AG11-AG12-AG13-AG14-AG15-AG16</f>
        <v>29474</v>
      </c>
      <c r="AH18" s="2" t="e">
        <f>#N/A</f>
        <v>#N/A</v>
      </c>
      <c r="AI18" s="2" t="e">
        <f>#N/A</f>
        <v>#N/A</v>
      </c>
      <c r="AJ18" s="2" t="e">
        <f>#N/A</f>
        <v>#N/A</v>
      </c>
      <c r="AK18" s="2" t="e">
        <f>#N/A</f>
        <v>#N/A</v>
      </c>
      <c r="AL18" s="2" t="e">
        <f>#N/A</f>
        <v>#N/A</v>
      </c>
      <c r="AM18" s="2" t="e">
        <f>#N/A</f>
        <v>#N/A</v>
      </c>
      <c r="AN18" s="2" t="e">
        <f>#N/A</f>
        <v>#N/A</v>
      </c>
      <c r="AO18" s="2" t="s">
        <v>7</v>
      </c>
      <c r="AP18" s="2">
        <f>AP7-AP8-AP9-AP10-AP11-AP12-AP13-AP14-AP15-AP16</f>
        <v>462145</v>
      </c>
      <c r="AQ18" s="2">
        <f>AQ7-AQ8-AQ9-AQ10-AQ11-AQ12-AQ13-AQ14-AQ15-AQ16</f>
        <v>70558</v>
      </c>
      <c r="AR18" s="2">
        <f>AR7-AR8-AR9-AR10-AR11-AR12-AR13-AR14-AR15-AR16</f>
        <v>63184</v>
      </c>
      <c r="AS18" s="2">
        <f>AS7-AS8-AS9-AS10-AS11-AS12-AS13-AS14-AS15-AS16</f>
        <v>144912</v>
      </c>
      <c r="AT18" s="2">
        <f>AT7-AT8-AT9-AT10-AT11-AT12-AT13-AT14-AT15-AT16</f>
        <v>591793</v>
      </c>
      <c r="AU18" s="2" t="e">
        <f>#N/A</f>
        <v>#N/A</v>
      </c>
    </row>
    <row r="19" spans="1:47" x14ac:dyDescent="0.25">
      <c r="B19" s="2"/>
      <c r="C19" s="2"/>
      <c r="D19" s="2"/>
      <c r="E19" s="2"/>
      <c r="F19" s="2"/>
      <c r="G19" s="2"/>
      <c r="H19" s="2"/>
      <c r="I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W19" s="2"/>
      <c r="X19" s="2"/>
      <c r="Y19" s="2"/>
      <c r="Z19" s="2"/>
      <c r="AA19" s="2"/>
      <c r="AB19" s="2"/>
      <c r="AC19" s="2"/>
      <c r="AD19" s="2"/>
      <c r="AE19" s="2"/>
      <c r="AG19" s="2"/>
      <c r="AH19" s="2"/>
      <c r="AI19" s="2"/>
      <c r="AJ19" s="2"/>
      <c r="AK19" s="2"/>
      <c r="AL19" s="2"/>
      <c r="AM19" s="2"/>
      <c r="AN19" s="2"/>
      <c r="AP19" s="2"/>
      <c r="AQ19" s="2"/>
      <c r="AR19" s="2"/>
      <c r="AS19" s="2"/>
      <c r="AT19" s="2"/>
      <c r="AU19" s="2" t="e">
        <f>#N/A</f>
        <v>#N/A</v>
      </c>
    </row>
    <row r="20" spans="1:47" x14ac:dyDescent="0.25">
      <c r="A20" t="s">
        <v>8</v>
      </c>
      <c r="B20" s="2">
        <v>241715</v>
      </c>
      <c r="C20" s="2">
        <v>255977</v>
      </c>
      <c r="D20" s="2">
        <v>447752</v>
      </c>
      <c r="E20" s="2">
        <v>304858</v>
      </c>
      <c r="F20" s="2">
        <v>559800</v>
      </c>
      <c r="G20" s="2">
        <v>105397</v>
      </c>
      <c r="H20" s="2">
        <v>189145</v>
      </c>
      <c r="I20" s="2">
        <v>599752</v>
      </c>
      <c r="J20" t="s">
        <v>8</v>
      </c>
      <c r="K20" s="2">
        <v>617294</v>
      </c>
      <c r="L20" s="2">
        <v>855235</v>
      </c>
      <c r="M20" s="2">
        <v>292000</v>
      </c>
      <c r="N20" s="2">
        <v>616730</v>
      </c>
      <c r="O20" s="2">
        <v>1350000</v>
      </c>
      <c r="P20" s="2">
        <v>354043</v>
      </c>
      <c r="Q20" s="2">
        <v>234185</v>
      </c>
      <c r="R20" s="2">
        <v>297852</v>
      </c>
      <c r="S20" s="2">
        <v>157500</v>
      </c>
      <c r="T20" s="2">
        <v>200000</v>
      </c>
      <c r="U20" s="2">
        <v>890000</v>
      </c>
      <c r="V20" t="s">
        <v>8</v>
      </c>
      <c r="W20" s="2">
        <v>1786500</v>
      </c>
      <c r="X20" s="2">
        <v>1186200</v>
      </c>
      <c r="Y20" s="2">
        <v>541800</v>
      </c>
      <c r="Z20" s="2">
        <v>369000</v>
      </c>
      <c r="AA20" s="2">
        <v>235800</v>
      </c>
      <c r="AB20" s="2">
        <v>389700</v>
      </c>
      <c r="AC20" s="2">
        <v>796500</v>
      </c>
      <c r="AD20" s="2">
        <v>108000</v>
      </c>
      <c r="AE20" s="2">
        <v>173700</v>
      </c>
      <c r="AF20" t="s">
        <v>8</v>
      </c>
      <c r="AG20" s="2">
        <v>469841</v>
      </c>
      <c r="AH20" s="2">
        <v>311294</v>
      </c>
      <c r="AI20" s="2">
        <v>420365</v>
      </c>
      <c r="AJ20" s="2">
        <v>212301</v>
      </c>
      <c r="AK20" s="2">
        <v>357516</v>
      </c>
      <c r="AL20" s="2">
        <v>1174500</v>
      </c>
      <c r="AM20" s="2">
        <v>891000</v>
      </c>
      <c r="AN20" s="2">
        <v>693000</v>
      </c>
      <c r="AO20" t="s">
        <v>8</v>
      </c>
      <c r="AP20" s="2">
        <v>1014300</v>
      </c>
      <c r="AQ20" s="2">
        <v>256500</v>
      </c>
      <c r="AR20" s="2">
        <v>238500</v>
      </c>
      <c r="AS20" s="2">
        <v>386988</v>
      </c>
      <c r="AT20" s="2">
        <v>1200000</v>
      </c>
      <c r="AU20" s="2" t="e">
        <f>#N/A</f>
        <v>#N/A</v>
      </c>
    </row>
    <row r="21" spans="1:47" x14ac:dyDescent="0.25">
      <c r="A21" t="s">
        <v>9</v>
      </c>
      <c r="B21" s="2">
        <v>274610</v>
      </c>
      <c r="C21" s="2"/>
      <c r="D21" s="2"/>
      <c r="E21" s="2">
        <v>88704</v>
      </c>
      <c r="F21" s="2"/>
      <c r="G21" s="2">
        <v>125453</v>
      </c>
      <c r="H21" s="2">
        <v>42897</v>
      </c>
      <c r="I21" s="2"/>
      <c r="J21" t="s">
        <v>9</v>
      </c>
      <c r="K21" s="2">
        <v>296653</v>
      </c>
      <c r="L21" s="2">
        <v>209739</v>
      </c>
      <c r="M21" s="2"/>
      <c r="N21" s="2">
        <v>140025</v>
      </c>
      <c r="O21" s="2"/>
      <c r="P21" s="2"/>
      <c r="Q21" s="2"/>
      <c r="R21" s="2">
        <v>235675</v>
      </c>
      <c r="S21" s="2">
        <v>90000</v>
      </c>
      <c r="T21" s="2"/>
      <c r="U21" s="2">
        <v>0</v>
      </c>
      <c r="V21" t="s">
        <v>9</v>
      </c>
      <c r="W21" s="2"/>
      <c r="X21" s="2"/>
      <c r="Y21" s="2">
        <v>202500</v>
      </c>
      <c r="Z21" s="2"/>
      <c r="AA21" s="2"/>
      <c r="AB21" s="2">
        <v>60000</v>
      </c>
      <c r="AC21" s="2">
        <v>225000</v>
      </c>
      <c r="AD21" s="2"/>
      <c r="AE21" s="2"/>
      <c r="AF21" t="s">
        <v>9</v>
      </c>
      <c r="AG21" s="2">
        <v>50000</v>
      </c>
      <c r="AH21" s="2">
        <v>45000</v>
      </c>
      <c r="AI21" s="2"/>
      <c r="AJ21" s="2">
        <v>30000</v>
      </c>
      <c r="AK21" s="2"/>
      <c r="AL21" s="2">
        <v>100000</v>
      </c>
      <c r="AM21" s="2"/>
      <c r="AN21" s="2"/>
      <c r="AO21" t="s">
        <v>9</v>
      </c>
      <c r="AP21" s="2">
        <v>100000</v>
      </c>
      <c r="AQ21" s="2"/>
      <c r="AR21" s="2"/>
      <c r="AS21" s="2"/>
      <c r="AT21" s="2"/>
      <c r="AU21" s="2" t="e">
        <f>#N/A</f>
        <v>#N/A</v>
      </c>
    </row>
    <row r="22" spans="1:47" x14ac:dyDescent="0.25">
      <c r="A22" t="s">
        <v>10</v>
      </c>
      <c r="B22" s="2"/>
      <c r="C22" s="2"/>
      <c r="D22" s="2"/>
      <c r="E22" s="2"/>
      <c r="F22" s="2"/>
      <c r="G22" s="2"/>
      <c r="H22" s="2">
        <v>0</v>
      </c>
      <c r="I22" s="2"/>
      <c r="J22" t="s">
        <v>10</v>
      </c>
      <c r="K22" s="2">
        <v>0</v>
      </c>
      <c r="L22" s="2">
        <v>0</v>
      </c>
      <c r="M22" s="2"/>
      <c r="N22" s="2">
        <v>0</v>
      </c>
      <c r="O22" s="2"/>
      <c r="P22" s="2"/>
      <c r="Q22" s="2"/>
      <c r="R22" s="2"/>
      <c r="S22" s="2"/>
      <c r="T22" s="2"/>
      <c r="U22" s="2"/>
      <c r="V22" t="s">
        <v>10</v>
      </c>
      <c r="W22" s="2"/>
      <c r="X22" s="2"/>
      <c r="Y22" s="2"/>
      <c r="Z22" s="2"/>
      <c r="AA22" s="2"/>
      <c r="AB22" s="2"/>
      <c r="AC22" s="2"/>
      <c r="AD22" s="2"/>
      <c r="AE22" s="2"/>
      <c r="AF22" t="s">
        <v>10</v>
      </c>
      <c r="AG22" s="2"/>
      <c r="AH22" s="2"/>
      <c r="AI22" s="2"/>
      <c r="AJ22" s="2"/>
      <c r="AK22" s="2"/>
      <c r="AL22" s="2"/>
      <c r="AM22" s="2"/>
      <c r="AN22" s="2"/>
      <c r="AO22" t="s">
        <v>10</v>
      </c>
      <c r="AP22" s="2"/>
      <c r="AQ22" s="2"/>
      <c r="AR22" s="2"/>
      <c r="AS22" s="2"/>
      <c r="AT22" s="2"/>
      <c r="AU22" s="2" t="e">
        <f>#N/A</f>
        <v>#N/A</v>
      </c>
    </row>
    <row r="23" spans="1:47" x14ac:dyDescent="0.25">
      <c r="B23" s="2"/>
      <c r="C23" s="2"/>
      <c r="D23" s="2"/>
      <c r="E23" s="2"/>
      <c r="F23" s="2"/>
      <c r="G23" s="2"/>
      <c r="H23" s="2"/>
      <c r="I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W23" s="2"/>
      <c r="X23" s="2"/>
      <c r="Y23" s="2"/>
      <c r="Z23" s="2"/>
      <c r="AA23" s="2"/>
      <c r="AB23" s="2"/>
      <c r="AC23" s="2"/>
      <c r="AD23" s="2"/>
      <c r="AE23" s="2"/>
      <c r="AG23" s="2"/>
      <c r="AH23" s="2"/>
      <c r="AI23" s="2"/>
      <c r="AJ23" s="2"/>
      <c r="AK23" s="2"/>
      <c r="AL23" s="2"/>
      <c r="AM23" s="2"/>
      <c r="AN23" s="2"/>
      <c r="AP23" s="2"/>
      <c r="AQ23" s="2"/>
      <c r="AR23" s="2"/>
      <c r="AS23" s="2"/>
      <c r="AT23" s="2"/>
      <c r="AU23" s="2" t="e">
        <f>#N/A</f>
        <v>#N/A</v>
      </c>
    </row>
    <row r="24" spans="1:47" x14ac:dyDescent="0.25">
      <c r="A24" t="s">
        <v>11</v>
      </c>
      <c r="B24" s="2" t="e">
        <f>#N/A</f>
        <v>#N/A</v>
      </c>
      <c r="C24" s="2" t="e">
        <f>#N/A</f>
        <v>#N/A</v>
      </c>
      <c r="D24" s="2" t="e">
        <f>#N/A</f>
        <v>#N/A</v>
      </c>
      <c r="E24" s="2" t="e">
        <f>#N/A</f>
        <v>#N/A</v>
      </c>
      <c r="F24" s="2" t="e">
        <f>#N/A</f>
        <v>#N/A</v>
      </c>
      <c r="G24" s="2" t="e">
        <f>#N/A</f>
        <v>#N/A</v>
      </c>
      <c r="H24" s="2" t="e">
        <f>#N/A</f>
        <v>#N/A</v>
      </c>
      <c r="I24" s="2" t="e">
        <f>#N/A</f>
        <v>#N/A</v>
      </c>
      <c r="J24" t="s">
        <v>11</v>
      </c>
      <c r="K24" s="2" t="e">
        <f>#N/A</f>
        <v>#N/A</v>
      </c>
      <c r="L24" s="2" t="e">
        <f>#N/A</f>
        <v>#N/A</v>
      </c>
      <c r="M24" s="2" t="e">
        <f>#N/A</f>
        <v>#N/A</v>
      </c>
      <c r="N24" s="2" t="e">
        <f>#N/A</f>
        <v>#N/A</v>
      </c>
      <c r="O24" s="2" t="e">
        <f>#N/A</f>
        <v>#N/A</v>
      </c>
      <c r="P24" s="2" t="e">
        <f>#N/A</f>
        <v>#N/A</v>
      </c>
      <c r="Q24" s="2" t="e">
        <f>#N/A</f>
        <v>#N/A</v>
      </c>
      <c r="R24" s="2" t="e">
        <f>#N/A</f>
        <v>#N/A</v>
      </c>
      <c r="S24" s="2" t="e">
        <f>#N/A</f>
        <v>#N/A</v>
      </c>
      <c r="T24" s="2" t="e">
        <f>#N/A</f>
        <v>#N/A</v>
      </c>
      <c r="U24" s="2" t="e">
        <f>#N/A</f>
        <v>#N/A</v>
      </c>
      <c r="V24" t="s">
        <v>11</v>
      </c>
      <c r="W24" s="2">
        <f>W18</f>
        <v>1580119</v>
      </c>
      <c r="X24" s="2" t="e">
        <f>#N/A</f>
        <v>#N/A</v>
      </c>
      <c r="Y24" s="2" t="e">
        <f>#N/A</f>
        <v>#N/A</v>
      </c>
      <c r="Z24" s="2" t="e">
        <f>#N/A</f>
        <v>#N/A</v>
      </c>
      <c r="AA24" s="2" t="e">
        <f>#N/A</f>
        <v>#N/A</v>
      </c>
      <c r="AB24" s="2" t="e">
        <f>#N/A</f>
        <v>#N/A</v>
      </c>
      <c r="AC24" s="2" t="e">
        <f>#N/A</f>
        <v>#N/A</v>
      </c>
      <c r="AD24" s="2" t="e">
        <f>#N/A</f>
        <v>#N/A</v>
      </c>
      <c r="AE24" s="2" t="e">
        <f>#N/A</f>
        <v>#N/A</v>
      </c>
      <c r="AF24" t="s">
        <v>11</v>
      </c>
      <c r="AG24" s="2">
        <f>AG18</f>
        <v>29474</v>
      </c>
      <c r="AH24" s="2" t="e">
        <f>#N/A</f>
        <v>#N/A</v>
      </c>
      <c r="AI24" s="2" t="e">
        <f>#N/A</f>
        <v>#N/A</v>
      </c>
      <c r="AJ24" s="2" t="e">
        <f>#N/A</f>
        <v>#N/A</v>
      </c>
      <c r="AK24" s="2" t="e">
        <f>#N/A</f>
        <v>#N/A</v>
      </c>
      <c r="AL24" s="2" t="e">
        <f>#N/A</f>
        <v>#N/A</v>
      </c>
      <c r="AM24" s="2" t="e">
        <f>#N/A</f>
        <v>#N/A</v>
      </c>
      <c r="AN24" s="2" t="e">
        <f>#N/A</f>
        <v>#N/A</v>
      </c>
      <c r="AO24" t="s">
        <v>11</v>
      </c>
      <c r="AP24" s="2">
        <f>AP18</f>
        <v>462145</v>
      </c>
      <c r="AQ24" s="2">
        <f>AQ18</f>
        <v>70558</v>
      </c>
      <c r="AR24" s="2">
        <f>AR18</f>
        <v>63184</v>
      </c>
      <c r="AS24" s="2">
        <f>AS18</f>
        <v>144912</v>
      </c>
      <c r="AT24" s="2">
        <f>AT18</f>
        <v>591793</v>
      </c>
      <c r="AU24" s="2" t="e">
        <f>#N/A</f>
        <v>#N/A</v>
      </c>
    </row>
    <row r="25" spans="1:47" x14ac:dyDescent="0.25">
      <c r="B25" s="2"/>
      <c r="C25" s="2"/>
      <c r="D25" s="2"/>
      <c r="E25" s="2"/>
      <c r="F25" s="2"/>
      <c r="G25" s="2"/>
      <c r="H25" s="2"/>
      <c r="I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W25" s="2"/>
      <c r="X25" s="2"/>
      <c r="Y25" s="2"/>
      <c r="Z25" s="2"/>
      <c r="AA25" s="2"/>
      <c r="AB25" s="2"/>
      <c r="AC25" s="2"/>
      <c r="AD25" s="2"/>
      <c r="AE25" s="2"/>
      <c r="AG25" s="2"/>
      <c r="AH25" s="2"/>
      <c r="AI25" s="2"/>
      <c r="AJ25" s="2"/>
      <c r="AK25" s="2"/>
      <c r="AL25" s="2"/>
      <c r="AM25" s="2"/>
      <c r="AN25" s="2"/>
      <c r="AP25" s="2"/>
      <c r="AQ25" s="2"/>
      <c r="AR25" s="2"/>
      <c r="AS25" s="2"/>
      <c r="AT25" s="2"/>
      <c r="AU25" s="2" t="e">
        <f>#N/A</f>
        <v>#N/A</v>
      </c>
    </row>
    <row r="26" spans="1:47" x14ac:dyDescent="0.25">
      <c r="A26" s="1" t="s">
        <v>12</v>
      </c>
      <c r="B26" s="2" t="e">
        <f>SUM(B20:B22)-B24</f>
        <v>#N/A</v>
      </c>
      <c r="C26" s="2" t="e">
        <f>#N/A</f>
        <v>#N/A</v>
      </c>
      <c r="D26" s="2" t="e">
        <f>#N/A</f>
        <v>#N/A</v>
      </c>
      <c r="E26" s="2" t="e">
        <f>#N/A</f>
        <v>#N/A</v>
      </c>
      <c r="F26" s="2" t="e">
        <f>#N/A</f>
        <v>#N/A</v>
      </c>
      <c r="G26" s="2" t="e">
        <f>#N/A</f>
        <v>#N/A</v>
      </c>
      <c r="H26" s="2" t="e">
        <f>#N/A</f>
        <v>#N/A</v>
      </c>
      <c r="I26" s="2" t="e">
        <f>#N/A</f>
        <v>#N/A</v>
      </c>
      <c r="J26" s="1" t="s">
        <v>12</v>
      </c>
      <c r="K26" s="2" t="e">
        <f>SUM(K20:K22)-K24</f>
        <v>#N/A</v>
      </c>
      <c r="L26" s="2" t="e">
        <f>#N/A</f>
        <v>#N/A</v>
      </c>
      <c r="M26" s="2" t="e">
        <f>#N/A</f>
        <v>#N/A</v>
      </c>
      <c r="N26" s="2" t="e">
        <f>#N/A</f>
        <v>#N/A</v>
      </c>
      <c r="O26" s="2" t="e">
        <f>#N/A</f>
        <v>#N/A</v>
      </c>
      <c r="P26" s="2" t="e">
        <f>#N/A</f>
        <v>#N/A</v>
      </c>
      <c r="Q26" s="2" t="e">
        <f>#N/A</f>
        <v>#N/A</v>
      </c>
      <c r="R26" s="2" t="e">
        <f>#N/A</f>
        <v>#N/A</v>
      </c>
      <c r="S26" s="2" t="e">
        <f>#N/A</f>
        <v>#N/A</v>
      </c>
      <c r="T26" s="2" t="e">
        <f>#N/A</f>
        <v>#N/A</v>
      </c>
      <c r="U26" s="2" t="e">
        <f>#N/A</f>
        <v>#N/A</v>
      </c>
      <c r="V26" s="1" t="s">
        <v>12</v>
      </c>
      <c r="W26" s="2">
        <f>SUM(W20:W22)-W24</f>
        <v>206381</v>
      </c>
      <c r="X26" s="2" t="e">
        <f>#N/A</f>
        <v>#N/A</v>
      </c>
      <c r="Y26" s="2" t="e">
        <f>#N/A</f>
        <v>#N/A</v>
      </c>
      <c r="Z26" s="2" t="e">
        <f>#N/A</f>
        <v>#N/A</v>
      </c>
      <c r="AA26" s="2" t="e">
        <f>#N/A</f>
        <v>#N/A</v>
      </c>
      <c r="AB26" s="2" t="e">
        <f>#N/A</f>
        <v>#N/A</v>
      </c>
      <c r="AC26" s="2" t="e">
        <f>#N/A</f>
        <v>#N/A</v>
      </c>
      <c r="AD26" s="2" t="e">
        <f>#N/A</f>
        <v>#N/A</v>
      </c>
      <c r="AE26" s="2" t="e">
        <f>#N/A</f>
        <v>#N/A</v>
      </c>
      <c r="AF26" s="1" t="s">
        <v>12</v>
      </c>
      <c r="AG26" s="2">
        <f>SUM(AG20:AG22)-AG24</f>
        <v>490367</v>
      </c>
      <c r="AH26" s="2" t="e">
        <f>#N/A</f>
        <v>#N/A</v>
      </c>
      <c r="AI26" s="2" t="e">
        <f>#N/A</f>
        <v>#N/A</v>
      </c>
      <c r="AJ26" s="2" t="e">
        <f>#N/A</f>
        <v>#N/A</v>
      </c>
      <c r="AK26" s="2" t="e">
        <f>#N/A</f>
        <v>#N/A</v>
      </c>
      <c r="AL26" s="2" t="e">
        <f>#N/A</f>
        <v>#N/A</v>
      </c>
      <c r="AM26" s="2" t="e">
        <f>#N/A</f>
        <v>#N/A</v>
      </c>
      <c r="AN26" s="2" t="e">
        <f>#N/A</f>
        <v>#N/A</v>
      </c>
      <c r="AO26" s="1" t="s">
        <v>12</v>
      </c>
      <c r="AP26" s="2">
        <f>SUM(AP20:AP22)-AP24</f>
        <v>652155</v>
      </c>
      <c r="AQ26" s="2">
        <f>SUM(AQ20:AQ22)-AQ24</f>
        <v>185942</v>
      </c>
      <c r="AR26" s="2">
        <f>SUM(AR20:AR22)-AR24</f>
        <v>175316</v>
      </c>
      <c r="AS26" s="2">
        <f>SUM(AS20:AS22)-AS24</f>
        <v>242076</v>
      </c>
      <c r="AT26" s="2">
        <f>SUM(AT20:AT22)-AT24</f>
        <v>608207</v>
      </c>
      <c r="AU26" s="2" t="e">
        <f>#N/A</f>
        <v>#N/A</v>
      </c>
    </row>
    <row r="27" spans="1:47" ht="13.8" thickBot="1" x14ac:dyDescent="0.3">
      <c r="B27" s="2"/>
      <c r="C27" s="2"/>
      <c r="D27" s="2"/>
      <c r="E27" s="2"/>
      <c r="F27" s="2"/>
      <c r="G27" s="2"/>
      <c r="H27" s="2"/>
      <c r="I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W27" s="2"/>
      <c r="X27" s="2"/>
      <c r="Y27" s="2"/>
      <c r="Z27" s="2"/>
      <c r="AA27" s="2"/>
      <c r="AB27" s="2"/>
      <c r="AC27" s="2"/>
      <c r="AD27" s="2"/>
      <c r="AE27" s="2"/>
      <c r="AG27" s="2"/>
      <c r="AH27" s="2"/>
      <c r="AI27" s="2"/>
      <c r="AJ27" s="2"/>
      <c r="AK27" s="2"/>
      <c r="AL27" s="2"/>
      <c r="AM27" s="2"/>
      <c r="AN27" s="2"/>
      <c r="AP27" s="2"/>
      <c r="AQ27" s="2"/>
      <c r="AR27" s="2"/>
      <c r="AS27" s="2"/>
      <c r="AT27" s="28"/>
      <c r="AU27" s="2" t="e">
        <f>#N/A</f>
        <v>#N/A</v>
      </c>
    </row>
    <row r="28" spans="1:47" ht="13.8" thickBot="1" x14ac:dyDescent="0.3">
      <c r="A28" s="1" t="s">
        <v>68</v>
      </c>
      <c r="B28" s="4">
        <v>15000</v>
      </c>
      <c r="C28" s="5">
        <v>75000</v>
      </c>
      <c r="D28" s="5">
        <v>150000</v>
      </c>
      <c r="E28" s="5">
        <v>150000</v>
      </c>
      <c r="F28" s="5">
        <v>100000</v>
      </c>
      <c r="G28" s="5"/>
      <c r="H28" s="5"/>
      <c r="I28" s="5">
        <v>250000</v>
      </c>
      <c r="J28" s="1" t="s">
        <v>68</v>
      </c>
      <c r="K28" s="4">
        <v>300000</v>
      </c>
      <c r="L28" s="5">
        <v>200000</v>
      </c>
      <c r="M28" s="5">
        <v>80000</v>
      </c>
      <c r="N28" s="5">
        <v>100000</v>
      </c>
      <c r="O28" s="5">
        <v>600000</v>
      </c>
      <c r="P28" s="5"/>
      <c r="Q28" s="5"/>
      <c r="R28" s="5">
        <v>200000</v>
      </c>
      <c r="S28" s="5">
        <v>60000</v>
      </c>
      <c r="T28" s="5">
        <v>150000</v>
      </c>
      <c r="U28" s="6"/>
      <c r="V28" s="1" t="s">
        <v>68</v>
      </c>
      <c r="W28" s="4"/>
      <c r="X28" s="5">
        <v>325000</v>
      </c>
      <c r="Y28" s="5">
        <v>450000</v>
      </c>
      <c r="Z28" s="5">
        <v>300000</v>
      </c>
      <c r="AA28" s="5">
        <v>150000</v>
      </c>
      <c r="AB28" s="5">
        <v>150000</v>
      </c>
      <c r="AC28" s="5">
        <v>175000</v>
      </c>
      <c r="AD28" s="5">
        <v>170000</v>
      </c>
      <c r="AE28" s="6">
        <v>225000</v>
      </c>
      <c r="AF28" s="1" t="s">
        <v>68</v>
      </c>
      <c r="AG28" s="4">
        <v>375000</v>
      </c>
      <c r="AH28" s="5">
        <v>150000</v>
      </c>
      <c r="AI28" s="5">
        <v>250000</v>
      </c>
      <c r="AJ28" s="5">
        <v>125000</v>
      </c>
      <c r="AK28" s="5"/>
      <c r="AL28" s="5">
        <v>435000</v>
      </c>
      <c r="AM28" s="5">
        <v>85000</v>
      </c>
      <c r="AN28" s="6">
        <v>125000</v>
      </c>
      <c r="AO28" s="1" t="s">
        <v>68</v>
      </c>
      <c r="AP28" s="4">
        <v>500000</v>
      </c>
      <c r="AQ28" s="5">
        <v>20000</v>
      </c>
      <c r="AR28" s="5">
        <v>120000</v>
      </c>
      <c r="AS28" s="5">
        <v>210000</v>
      </c>
      <c r="AT28" s="30"/>
      <c r="AU28" s="2" t="e">
        <f>#N/A</f>
        <v>#N/A</v>
      </c>
    </row>
    <row r="29" spans="1:47" ht="13.8" thickBot="1" x14ac:dyDescent="0.3">
      <c r="A29" s="1" t="s">
        <v>15</v>
      </c>
      <c r="B29" s="4"/>
      <c r="C29" s="5">
        <v>24000</v>
      </c>
      <c r="D29" s="5">
        <v>260000</v>
      </c>
      <c r="E29" s="5">
        <v>120000</v>
      </c>
      <c r="F29" s="5">
        <v>200000</v>
      </c>
      <c r="G29" s="5"/>
      <c r="H29" s="5"/>
      <c r="I29" s="5">
        <v>20000</v>
      </c>
      <c r="J29" s="1" t="s">
        <v>15</v>
      </c>
      <c r="K29" s="4">
        <v>700000</v>
      </c>
      <c r="L29" s="5">
        <v>500000</v>
      </c>
      <c r="M29" s="5">
        <v>90000</v>
      </c>
      <c r="N29" s="5">
        <v>200000</v>
      </c>
      <c r="O29" s="5">
        <v>300000</v>
      </c>
      <c r="P29" s="5"/>
      <c r="Q29" s="5"/>
      <c r="R29" s="5">
        <v>130000</v>
      </c>
      <c r="S29" s="5">
        <v>5000</v>
      </c>
      <c r="T29" s="5"/>
      <c r="U29" s="6"/>
      <c r="V29" s="1" t="s">
        <v>15</v>
      </c>
      <c r="W29" s="4"/>
      <c r="X29" s="5">
        <v>30000</v>
      </c>
      <c r="Y29" s="5">
        <v>6000</v>
      </c>
      <c r="Z29" s="5">
        <v>100000</v>
      </c>
      <c r="AA29" s="5">
        <v>50000</v>
      </c>
      <c r="AB29" s="5">
        <v>10000</v>
      </c>
      <c r="AC29" s="5">
        <v>30000</v>
      </c>
      <c r="AD29" s="5"/>
      <c r="AE29" s="6">
        <v>55000</v>
      </c>
      <c r="AF29" s="1" t="s">
        <v>15</v>
      </c>
      <c r="AG29" s="4">
        <v>25000</v>
      </c>
      <c r="AH29" s="5"/>
      <c r="AI29" s="5">
        <v>50000</v>
      </c>
      <c r="AJ29" s="5">
        <v>26000</v>
      </c>
      <c r="AK29" s="5"/>
      <c r="AL29" s="5">
        <v>500000</v>
      </c>
      <c r="AM29" s="5">
        <v>500000</v>
      </c>
      <c r="AN29" s="6">
        <v>410000</v>
      </c>
      <c r="AO29" s="1" t="s">
        <v>15</v>
      </c>
      <c r="AP29" s="4">
        <v>225000</v>
      </c>
      <c r="AQ29" s="5">
        <v>50000</v>
      </c>
      <c r="AR29" s="5"/>
      <c r="AS29" s="5">
        <v>100000</v>
      </c>
      <c r="AT29" s="30"/>
      <c r="AU29" s="2" t="e">
        <f>#N/A</f>
        <v>#N/A</v>
      </c>
    </row>
    <row r="30" spans="1:47" ht="13.8" thickBot="1" x14ac:dyDescent="0.3">
      <c r="A30" s="1" t="s">
        <v>16</v>
      </c>
      <c r="B30" s="19">
        <v>2500</v>
      </c>
      <c r="C30" s="20">
        <v>20000</v>
      </c>
      <c r="D30" s="20">
        <v>38000</v>
      </c>
      <c r="E30" s="20">
        <v>40000</v>
      </c>
      <c r="F30" s="20">
        <v>5000</v>
      </c>
      <c r="G30" s="20"/>
      <c r="H30" s="20"/>
      <c r="I30" s="20">
        <v>30000</v>
      </c>
      <c r="J30" s="1" t="s">
        <v>16</v>
      </c>
      <c r="K30" s="19">
        <v>130000</v>
      </c>
      <c r="L30" s="20">
        <v>145000</v>
      </c>
      <c r="M30" s="20"/>
      <c r="N30" s="20">
        <v>75000</v>
      </c>
      <c r="O30" s="20">
        <v>135000</v>
      </c>
      <c r="P30" s="20"/>
      <c r="Q30" s="20"/>
      <c r="R30" s="20">
        <v>30000</v>
      </c>
      <c r="S30" s="20">
        <v>5000</v>
      </c>
      <c r="T30" s="20"/>
      <c r="U30" s="21"/>
      <c r="V30" s="1" t="s">
        <v>16</v>
      </c>
      <c r="W30" s="19">
        <v>300000</v>
      </c>
      <c r="X30" s="20">
        <v>80000</v>
      </c>
      <c r="Y30" s="20">
        <v>50000</v>
      </c>
      <c r="Z30" s="20">
        <v>75000</v>
      </c>
      <c r="AA30" s="20">
        <v>70000</v>
      </c>
      <c r="AB30" s="20">
        <v>25000</v>
      </c>
      <c r="AC30" s="20">
        <v>40000</v>
      </c>
      <c r="AD30" s="20">
        <v>30000</v>
      </c>
      <c r="AE30" s="21">
        <v>40000</v>
      </c>
      <c r="AF30" s="1" t="s">
        <v>16</v>
      </c>
      <c r="AG30" s="19">
        <v>60000</v>
      </c>
      <c r="AH30" s="20">
        <v>26000</v>
      </c>
      <c r="AI30" s="20">
        <v>100000</v>
      </c>
      <c r="AJ30" s="20">
        <v>24000</v>
      </c>
      <c r="AK30" s="20"/>
      <c r="AL30" s="20">
        <v>140000</v>
      </c>
      <c r="AM30" s="20">
        <v>135000</v>
      </c>
      <c r="AN30" s="21">
        <v>155000</v>
      </c>
      <c r="AO30" s="1" t="s">
        <v>16</v>
      </c>
      <c r="AP30" s="19">
        <v>40000</v>
      </c>
      <c r="AQ30" s="20"/>
      <c r="AR30" s="20"/>
      <c r="AS30" s="20">
        <v>20000</v>
      </c>
      <c r="AT30" s="31"/>
      <c r="AU30" s="2" t="e">
        <f>#N/A</f>
        <v>#N/A</v>
      </c>
    </row>
    <row r="31" spans="1:47" ht="13.8" thickBot="1" x14ac:dyDescent="0.3">
      <c r="A31" s="10" t="s">
        <v>95</v>
      </c>
      <c r="B31" s="4"/>
      <c r="C31" s="5"/>
      <c r="D31" s="5"/>
      <c r="E31" s="5"/>
      <c r="F31" s="5">
        <v>18000</v>
      </c>
      <c r="G31" s="5"/>
      <c r="H31" s="5"/>
      <c r="I31" s="5">
        <v>18000</v>
      </c>
      <c r="J31" s="24" t="s">
        <v>96</v>
      </c>
      <c r="K31" s="4"/>
      <c r="L31" s="5">
        <v>48000</v>
      </c>
      <c r="M31" s="5"/>
      <c r="N31" s="5">
        <v>20000</v>
      </c>
      <c r="O31" s="5"/>
      <c r="P31" s="5"/>
      <c r="Q31" s="5"/>
      <c r="R31" s="5">
        <v>15000</v>
      </c>
      <c r="S31" s="5"/>
      <c r="T31" s="5"/>
      <c r="U31" s="6"/>
      <c r="V31" s="27" t="s">
        <v>95</v>
      </c>
      <c r="W31" s="26"/>
      <c r="X31" s="5"/>
      <c r="Y31" s="5"/>
      <c r="Z31" s="5"/>
      <c r="AA31" s="5">
        <v>5000</v>
      </c>
      <c r="AB31" s="5">
        <v>10000</v>
      </c>
      <c r="AC31" s="5"/>
      <c r="AD31" s="5"/>
      <c r="AE31" s="5"/>
      <c r="AF31" s="25" t="s">
        <v>96</v>
      </c>
      <c r="AG31" s="5"/>
      <c r="AH31" s="5"/>
      <c r="AI31" s="5">
        <v>5000</v>
      </c>
      <c r="AJ31" s="5"/>
      <c r="AK31" s="5"/>
      <c r="AL31" s="5"/>
      <c r="AM31" s="5"/>
      <c r="AN31" s="5"/>
      <c r="AO31" s="25" t="s">
        <v>95</v>
      </c>
      <c r="AP31" s="5">
        <v>100000</v>
      </c>
      <c r="AQ31" s="5"/>
      <c r="AR31" s="5"/>
      <c r="AS31" s="5"/>
      <c r="AT31" s="30"/>
      <c r="AU31" s="2" t="e">
        <f>#N/A</f>
        <v>#N/A</v>
      </c>
    </row>
    <row r="32" spans="1:47" x14ac:dyDescent="0.25">
      <c r="A32" s="1" t="s">
        <v>13</v>
      </c>
      <c r="B32" s="2" t="e">
        <f>B26-B28-B29-B30-B31</f>
        <v>#N/A</v>
      </c>
      <c r="C32" s="2" t="e">
        <f>#N/A</f>
        <v>#N/A</v>
      </c>
      <c r="D32" s="2" t="e">
        <f>#N/A</f>
        <v>#N/A</v>
      </c>
      <c r="E32" s="2" t="e">
        <f>#N/A</f>
        <v>#N/A</v>
      </c>
      <c r="F32" s="2" t="e">
        <f>#N/A</f>
        <v>#N/A</v>
      </c>
      <c r="G32" s="2" t="e">
        <f>#N/A</f>
        <v>#N/A</v>
      </c>
      <c r="H32" s="2" t="e">
        <f>#N/A</f>
        <v>#N/A</v>
      </c>
      <c r="I32" s="2" t="e">
        <f>#N/A</f>
        <v>#N/A</v>
      </c>
      <c r="J32" s="1" t="s">
        <v>13</v>
      </c>
      <c r="K32" s="2" t="e">
        <f>K26-K28-K29-K30-K31</f>
        <v>#N/A</v>
      </c>
      <c r="L32" s="2" t="e">
        <f>#N/A</f>
        <v>#N/A</v>
      </c>
      <c r="M32" s="2" t="e">
        <f>#N/A</f>
        <v>#N/A</v>
      </c>
      <c r="N32" s="2" t="e">
        <f>#N/A</f>
        <v>#N/A</v>
      </c>
      <c r="O32" s="2" t="e">
        <f>#N/A</f>
        <v>#N/A</v>
      </c>
      <c r="P32" s="2" t="e">
        <f>#N/A</f>
        <v>#N/A</v>
      </c>
      <c r="Q32" s="2" t="e">
        <f>#N/A</f>
        <v>#N/A</v>
      </c>
      <c r="R32" s="2" t="e">
        <f>#N/A</f>
        <v>#N/A</v>
      </c>
      <c r="S32" s="2" t="e">
        <f>#N/A</f>
        <v>#N/A</v>
      </c>
      <c r="T32" s="2" t="e">
        <f>#N/A</f>
        <v>#N/A</v>
      </c>
      <c r="U32" s="2" t="e">
        <f>#N/A</f>
        <v>#N/A</v>
      </c>
      <c r="V32" s="14" t="s">
        <v>13</v>
      </c>
      <c r="W32" s="2" t="e">
        <f>#N/A</f>
        <v>#N/A</v>
      </c>
      <c r="X32" s="2" t="e">
        <f>#N/A</f>
        <v>#N/A</v>
      </c>
      <c r="Y32" s="2" t="e">
        <f>#N/A</f>
        <v>#N/A</v>
      </c>
      <c r="Z32" s="2" t="e">
        <f>#N/A</f>
        <v>#N/A</v>
      </c>
      <c r="AA32" s="2" t="e">
        <f>#N/A</f>
        <v>#N/A</v>
      </c>
      <c r="AB32" s="2" t="e">
        <f>#N/A</f>
        <v>#N/A</v>
      </c>
      <c r="AC32" s="2" t="e">
        <f>#N/A</f>
        <v>#N/A</v>
      </c>
      <c r="AD32" s="2" t="e">
        <f>#N/A</f>
        <v>#N/A</v>
      </c>
      <c r="AE32" s="2" t="e">
        <f>#N/A</f>
        <v>#N/A</v>
      </c>
      <c r="AF32" s="14" t="s">
        <v>13</v>
      </c>
      <c r="AG32" s="2" t="e">
        <f>#N/A</f>
        <v>#N/A</v>
      </c>
      <c r="AH32" s="2" t="e">
        <f>#N/A</f>
        <v>#N/A</v>
      </c>
      <c r="AI32" s="2" t="e">
        <f>#N/A</f>
        <v>#N/A</v>
      </c>
      <c r="AJ32" s="2" t="e">
        <f>#N/A</f>
        <v>#N/A</v>
      </c>
      <c r="AK32" s="2" t="e">
        <f>#N/A</f>
        <v>#N/A</v>
      </c>
      <c r="AL32" s="2" t="e">
        <f>#N/A</f>
        <v>#N/A</v>
      </c>
      <c r="AM32" s="2" t="e">
        <f>#N/A</f>
        <v>#N/A</v>
      </c>
      <c r="AN32" s="2" t="e">
        <f>#N/A</f>
        <v>#N/A</v>
      </c>
      <c r="AO32" s="14" t="s">
        <v>13</v>
      </c>
      <c r="AP32" s="2">
        <f>AP26-AP28-AP29-AP30-AP31</f>
        <v>-212845</v>
      </c>
      <c r="AQ32" s="2">
        <f>AQ26-AQ28-AQ29-AQ30-AQ31</f>
        <v>115942</v>
      </c>
      <c r="AR32" s="2">
        <f>AR26-AR28-AR29-AR30-AR31</f>
        <v>55316</v>
      </c>
      <c r="AS32" s="2">
        <f>AS26-AS28-AS29-AS30-AS31</f>
        <v>-87924</v>
      </c>
      <c r="AT32" s="2">
        <f>AT26-AT28-AT29-AT30-AT31</f>
        <v>608207</v>
      </c>
      <c r="AU32" s="2" t="e">
        <f>#N/A</f>
        <v>#N/A</v>
      </c>
    </row>
    <row r="33" spans="1:47" x14ac:dyDescent="0.25">
      <c r="AU33" s="2" t="e">
        <f>#N/A</f>
        <v>#N/A</v>
      </c>
    </row>
    <row r="34" spans="1:47" x14ac:dyDescent="0.25">
      <c r="A34" t="s">
        <v>14</v>
      </c>
      <c r="J34" t="s">
        <v>14</v>
      </c>
      <c r="V34" t="s">
        <v>14</v>
      </c>
      <c r="AF34" t="s">
        <v>14</v>
      </c>
      <c r="AO34" t="s">
        <v>14</v>
      </c>
      <c r="AU34" s="2" t="e">
        <f>#N/A</f>
        <v>#N/A</v>
      </c>
    </row>
    <row r="35" spans="1:47" x14ac:dyDescent="0.25">
      <c r="A35" t="s">
        <v>18</v>
      </c>
      <c r="B35" s="8"/>
      <c r="C35" s="8"/>
      <c r="D35" s="8">
        <v>20000</v>
      </c>
      <c r="E35" s="8"/>
      <c r="F35" s="8"/>
      <c r="G35" s="8"/>
      <c r="H35" s="8"/>
      <c r="I35" s="8"/>
      <c r="J35" t="s">
        <v>22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t="s">
        <v>22</v>
      </c>
      <c r="W35" s="8"/>
      <c r="X35" s="8"/>
      <c r="Y35" s="8"/>
      <c r="Z35" s="8"/>
      <c r="AA35" s="8"/>
      <c r="AB35" s="8"/>
      <c r="AC35" s="8"/>
      <c r="AD35" s="8"/>
      <c r="AE35" s="8"/>
      <c r="AF35" t="s">
        <v>22</v>
      </c>
      <c r="AG35" s="8"/>
      <c r="AH35" s="8"/>
      <c r="AI35" s="8"/>
      <c r="AJ35" s="8"/>
      <c r="AK35" s="8"/>
      <c r="AL35" s="8"/>
      <c r="AM35" s="8"/>
      <c r="AN35" s="8"/>
      <c r="AO35" t="s">
        <v>22</v>
      </c>
      <c r="AP35" s="8"/>
      <c r="AQ35" s="8"/>
      <c r="AR35" s="8"/>
      <c r="AS35" s="8"/>
      <c r="AT35" s="8"/>
      <c r="AU35" s="2" t="e">
        <f>#N/A</f>
        <v>#N/A</v>
      </c>
    </row>
    <row r="36" spans="1:47" x14ac:dyDescent="0.25">
      <c r="A36" t="s">
        <v>19</v>
      </c>
      <c r="B36" s="8"/>
      <c r="C36" s="8"/>
      <c r="D36" s="8"/>
      <c r="E36" s="8"/>
      <c r="F36" s="8"/>
      <c r="G36" s="8"/>
      <c r="H36" s="8"/>
      <c r="I36" s="8"/>
      <c r="J36" t="s">
        <v>23</v>
      </c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t="s">
        <v>23</v>
      </c>
      <c r="W36" s="8"/>
      <c r="X36" s="8"/>
      <c r="Y36" s="8"/>
      <c r="Z36" s="8"/>
      <c r="AA36" s="8"/>
      <c r="AB36" s="8"/>
      <c r="AC36" s="8"/>
      <c r="AD36" s="8"/>
      <c r="AE36" s="8"/>
      <c r="AF36" t="s">
        <v>23</v>
      </c>
      <c r="AG36" s="8"/>
      <c r="AH36" s="8"/>
      <c r="AI36" s="8"/>
      <c r="AJ36" s="8"/>
      <c r="AK36" s="8"/>
      <c r="AL36" s="8"/>
      <c r="AM36" s="8"/>
      <c r="AN36" s="8"/>
      <c r="AO36" t="s">
        <v>19</v>
      </c>
      <c r="AP36" s="8"/>
      <c r="AQ36" s="8"/>
      <c r="AR36" s="8"/>
      <c r="AS36" s="8"/>
      <c r="AT36" s="8"/>
      <c r="AU36" s="2" t="e">
        <f>#N/A</f>
        <v>#N/A</v>
      </c>
    </row>
    <row r="37" spans="1:47" x14ac:dyDescent="0.25">
      <c r="A37" s="9" t="s">
        <v>20</v>
      </c>
      <c r="B37" s="8"/>
      <c r="C37" s="8"/>
      <c r="D37" s="8"/>
      <c r="E37" s="8"/>
      <c r="F37" s="8"/>
      <c r="G37" s="8"/>
      <c r="H37" s="8"/>
      <c r="I37" s="8"/>
      <c r="J37" t="s">
        <v>24</v>
      </c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t="s">
        <v>24</v>
      </c>
      <c r="W37" s="8"/>
      <c r="X37" s="8"/>
      <c r="Y37" s="8"/>
      <c r="Z37" s="8"/>
      <c r="AA37" s="8"/>
      <c r="AB37" s="8"/>
      <c r="AC37" s="8"/>
      <c r="AD37" s="8"/>
      <c r="AE37" s="8"/>
      <c r="AF37" t="s">
        <v>24</v>
      </c>
      <c r="AG37" s="8"/>
      <c r="AH37" s="8"/>
      <c r="AI37" s="8"/>
      <c r="AJ37" s="8"/>
      <c r="AK37" s="8"/>
      <c r="AL37" s="8"/>
      <c r="AM37" s="8"/>
      <c r="AN37" s="8"/>
      <c r="AO37" t="s">
        <v>24</v>
      </c>
      <c r="AP37" s="8"/>
      <c r="AQ37" s="8"/>
      <c r="AR37" s="8"/>
      <c r="AS37" s="8"/>
      <c r="AT37" s="8"/>
      <c r="AU37" s="2" t="e">
        <f>#N/A</f>
        <v>#N/A</v>
      </c>
    </row>
    <row r="38" spans="1:47" x14ac:dyDescent="0.25">
      <c r="A38" t="s">
        <v>21</v>
      </c>
      <c r="B38" s="8"/>
      <c r="C38" s="8"/>
      <c r="D38" s="8"/>
      <c r="E38" s="8"/>
      <c r="F38" s="8"/>
      <c r="G38" s="8"/>
      <c r="H38" s="8"/>
      <c r="I38" s="8"/>
      <c r="J38" t="s">
        <v>21</v>
      </c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t="s">
        <v>21</v>
      </c>
      <c r="W38" s="8"/>
      <c r="X38" s="8"/>
      <c r="Y38" s="8"/>
      <c r="Z38" s="8"/>
      <c r="AA38" s="8"/>
      <c r="AB38" s="8"/>
      <c r="AC38" s="8"/>
      <c r="AD38" s="8"/>
      <c r="AE38" s="8"/>
      <c r="AF38" t="s">
        <v>21</v>
      </c>
      <c r="AG38" s="8"/>
      <c r="AH38" s="8"/>
      <c r="AI38" s="8"/>
      <c r="AJ38" s="8"/>
      <c r="AK38" s="8"/>
      <c r="AL38" s="8"/>
      <c r="AM38" s="8"/>
      <c r="AN38" s="8"/>
      <c r="AO38" t="s">
        <v>21</v>
      </c>
      <c r="AP38" s="8"/>
      <c r="AQ38" s="8"/>
      <c r="AR38" s="8"/>
      <c r="AS38" s="8"/>
      <c r="AT38" s="8"/>
      <c r="AU38" s="2" t="e">
        <f>#N/A</f>
        <v>#N/A</v>
      </c>
    </row>
    <row r="39" spans="1:47" x14ac:dyDescent="0.25">
      <c r="A39" t="s">
        <v>81</v>
      </c>
      <c r="B39" s="8"/>
      <c r="C39" s="8"/>
      <c r="D39" s="8"/>
      <c r="E39" s="8"/>
      <c r="F39" s="8"/>
      <c r="G39" s="8"/>
      <c r="H39" s="8"/>
      <c r="I39" s="8"/>
      <c r="J39" s="22" t="s">
        <v>81</v>
      </c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23" t="s">
        <v>81</v>
      </c>
      <c r="W39" s="8"/>
      <c r="X39" s="8"/>
      <c r="Y39" s="8"/>
      <c r="Z39" s="8"/>
      <c r="AA39" s="8"/>
      <c r="AB39" s="8"/>
      <c r="AC39" s="8"/>
      <c r="AD39" s="8"/>
      <c r="AE39" s="8"/>
      <c r="AF39" s="22" t="s">
        <v>86</v>
      </c>
      <c r="AG39" s="8"/>
      <c r="AH39" s="8"/>
      <c r="AI39" s="8"/>
      <c r="AJ39" s="8"/>
      <c r="AK39" s="8"/>
      <c r="AL39" s="8"/>
      <c r="AM39" s="8"/>
      <c r="AN39" s="8"/>
      <c r="AO39" s="22" t="s">
        <v>81</v>
      </c>
      <c r="AP39" s="8"/>
      <c r="AQ39" s="8"/>
      <c r="AR39" s="8"/>
      <c r="AS39" s="8"/>
      <c r="AT39" s="8"/>
      <c r="AU39" s="2" t="e">
        <f>#N/A</f>
        <v>#N/A</v>
      </c>
    </row>
    <row r="40" spans="1:47" x14ac:dyDescent="0.25">
      <c r="A40" s="10" t="s">
        <v>89</v>
      </c>
      <c r="B40" s="2" t="e">
        <f>SUM(B32:B39)</f>
        <v>#N/A</v>
      </c>
      <c r="C40" s="2" t="e">
        <f>#N/A</f>
        <v>#N/A</v>
      </c>
      <c r="D40" s="2" t="e">
        <f>#N/A</f>
        <v>#N/A</v>
      </c>
      <c r="E40" s="2" t="e">
        <f>#N/A</f>
        <v>#N/A</v>
      </c>
      <c r="F40" s="2" t="e">
        <f>#N/A</f>
        <v>#N/A</v>
      </c>
      <c r="G40" s="2" t="e">
        <f>#N/A</f>
        <v>#N/A</v>
      </c>
      <c r="H40" s="2" t="e">
        <f>#N/A</f>
        <v>#N/A</v>
      </c>
      <c r="I40" s="2" t="e">
        <f>#N/A</f>
        <v>#N/A</v>
      </c>
      <c r="J40" s="10" t="s">
        <v>89</v>
      </c>
      <c r="K40" s="2" t="e">
        <f>SUM(K32:K39)</f>
        <v>#N/A</v>
      </c>
      <c r="L40" s="2" t="e">
        <f>#N/A</f>
        <v>#N/A</v>
      </c>
      <c r="M40" s="2" t="e">
        <f>#N/A</f>
        <v>#N/A</v>
      </c>
      <c r="N40" s="2" t="e">
        <f>#N/A</f>
        <v>#N/A</v>
      </c>
      <c r="O40" s="2" t="e">
        <f>#N/A</f>
        <v>#N/A</v>
      </c>
      <c r="P40" s="2" t="e">
        <f>#N/A</f>
        <v>#N/A</v>
      </c>
      <c r="Q40" s="2" t="e">
        <f>#N/A</f>
        <v>#N/A</v>
      </c>
      <c r="R40" s="2" t="e">
        <f>#N/A</f>
        <v>#N/A</v>
      </c>
      <c r="S40" s="2" t="e">
        <f>#N/A</f>
        <v>#N/A</v>
      </c>
      <c r="T40" s="2" t="e">
        <f>#N/A</f>
        <v>#N/A</v>
      </c>
      <c r="U40" s="2" t="e">
        <f>#N/A</f>
        <v>#N/A</v>
      </c>
      <c r="V40" s="14" t="s">
        <v>89</v>
      </c>
      <c r="W40" s="2" t="e">
        <f>SUM(W32:W39)</f>
        <v>#N/A</v>
      </c>
      <c r="X40" s="2" t="e">
        <f>#N/A</f>
        <v>#N/A</v>
      </c>
      <c r="Y40" s="2" t="e">
        <f>#N/A</f>
        <v>#N/A</v>
      </c>
      <c r="Z40" s="2" t="e">
        <f>#N/A</f>
        <v>#N/A</v>
      </c>
      <c r="AA40" s="2" t="e">
        <f>#N/A</f>
        <v>#N/A</v>
      </c>
      <c r="AB40" s="2" t="e">
        <f>#N/A</f>
        <v>#N/A</v>
      </c>
      <c r="AC40" s="2" t="e">
        <f>#N/A</f>
        <v>#N/A</v>
      </c>
      <c r="AD40" s="2" t="e">
        <f>#N/A</f>
        <v>#N/A</v>
      </c>
      <c r="AE40" s="2" t="e">
        <f>#N/A</f>
        <v>#N/A</v>
      </c>
      <c r="AF40" s="10" t="s">
        <v>89</v>
      </c>
      <c r="AG40" s="2" t="e">
        <f>SUM(AG32:AG39)</f>
        <v>#N/A</v>
      </c>
      <c r="AH40" s="2" t="e">
        <f>#N/A</f>
        <v>#N/A</v>
      </c>
      <c r="AI40" s="2" t="e">
        <f>#N/A</f>
        <v>#N/A</v>
      </c>
      <c r="AJ40" s="2" t="e">
        <f>#N/A</f>
        <v>#N/A</v>
      </c>
      <c r="AK40" s="2" t="e">
        <f>#N/A</f>
        <v>#N/A</v>
      </c>
      <c r="AL40" s="2" t="e">
        <f>#N/A</f>
        <v>#N/A</v>
      </c>
      <c r="AM40" s="2" t="e">
        <f>#N/A</f>
        <v>#N/A</v>
      </c>
      <c r="AN40" s="2" t="e">
        <f>#N/A</f>
        <v>#N/A</v>
      </c>
      <c r="AO40" s="10" t="s">
        <v>89</v>
      </c>
      <c r="AP40" s="2" t="e">
        <f>#N/A</f>
        <v>#N/A</v>
      </c>
      <c r="AQ40" s="2" t="e">
        <f>#N/A</f>
        <v>#N/A</v>
      </c>
      <c r="AR40" s="2" t="e">
        <f>#N/A</f>
        <v>#N/A</v>
      </c>
      <c r="AS40" s="2" t="e">
        <f>#N/A</f>
        <v>#N/A</v>
      </c>
      <c r="AT40" s="2" t="e">
        <f>#N/A</f>
        <v>#N/A</v>
      </c>
      <c r="AU40" s="2" t="e">
        <f>#N/A</f>
        <v>#N/A</v>
      </c>
    </row>
    <row r="41" spans="1:47" x14ac:dyDescent="0.25">
      <c r="V41" s="2"/>
    </row>
    <row r="42" spans="1:47" x14ac:dyDescent="0.25">
      <c r="V42" s="2"/>
    </row>
    <row r="43" spans="1:47" x14ac:dyDescent="0.25">
      <c r="A43" s="1"/>
    </row>
    <row r="49" spans="1:1" x14ac:dyDescent="0.25">
      <c r="A49" s="1"/>
    </row>
    <row r="56" spans="1:1" x14ac:dyDescent="0.25">
      <c r="A56" s="1"/>
    </row>
    <row r="58" spans="1:1" x14ac:dyDescent="0.25">
      <c r="A58" s="1"/>
    </row>
    <row r="60" spans="1:1" x14ac:dyDescent="0.25">
      <c r="A60" s="1"/>
    </row>
  </sheetData>
  <customSheetViews>
    <customSheetView guid="{787CEAB0-B665-4DDC-B6D5-0EF4B4179B2C}" topLeftCell="AA1">
      <selection activeCell="AM1" sqref="AM1"/>
      <pageMargins left="0.27" right="0.35" top="0.71" bottom="0.36" header="0.39" footer="0.5"/>
      <printOptions gridLines="1"/>
      <pageSetup orientation="landscape" horizontalDpi="4294967292" r:id="rId1"/>
      <headerFooter alignWithMargins="0">
        <oddHeader>&amp;A</oddHeader>
        <oddFooter>&amp;CPage &amp;P&amp;R&amp;D</oddFooter>
      </headerFooter>
    </customSheetView>
    <customSheetView guid="{32FA922B-D311-4A17-9E95-50C57C186216}" topLeftCell="AA1">
      <selection activeCell="AM1" sqref="AM1"/>
      <pageMargins left="0.27" right="0.35" top="0.71" bottom="0.36" header="0.39" footer="0.5"/>
      <printOptions gridLines="1"/>
      <pageSetup orientation="landscape" horizontalDpi="4294967292" r:id="rId2"/>
      <headerFooter alignWithMargins="0">
        <oddHeader>&amp;A</oddHeader>
        <oddFooter>&amp;CPage &amp;P&amp;R&amp;D</oddFooter>
      </headerFooter>
    </customSheetView>
    <customSheetView guid="{AD1DD6D4-9126-4937-AE78-38B0663E3739}" topLeftCell="AA1">
      <selection activeCell="AM1" sqref="AM1"/>
      <pageMargins left="0.27" right="0.35" top="0.71" bottom="0.36" header="0.39" footer="0.5"/>
      <printOptions gridLines="1"/>
      <pageSetup orientation="landscape" horizontalDpi="4294967292" r:id="rId3"/>
      <headerFooter alignWithMargins="0">
        <oddHeader>&amp;A</oddHeader>
        <oddFooter>&amp;CPage &amp;P&amp;R&amp;D</oddFooter>
      </headerFooter>
    </customSheetView>
    <customSheetView guid="{007B44AF-685B-4B37-9750-B07A99A25CF6}">
      <selection activeCell="AG12" sqref="AG12"/>
      <pageMargins left="0.27" right="0.35" top="0.71" bottom="0.36" header="0.39" footer="0.5"/>
      <printOptions gridLines="1"/>
      <pageSetup orientation="landscape" horizontalDpi="4294967292" r:id="rId4"/>
      <headerFooter alignWithMargins="0">
        <oddHeader>&amp;A</oddHeader>
        <oddFooter>&amp;CPage &amp;P&amp;R&amp;D</oddFooter>
      </headerFooter>
    </customSheetView>
    <customSheetView guid="{AA02AC12-6E1B-4019-BD01-AFF4D21A6ABD}" topLeftCell="AA1">
      <selection activeCell="AM1" sqref="AM1"/>
      <pageMargins left="0.27" right="0.35" top="0.71" bottom="0.36" header="0.39" footer="0.5"/>
      <printOptions gridLines="1"/>
      <pageSetup orientation="landscape" horizontalDpi="4294967292" r:id="rId5"/>
      <headerFooter alignWithMargins="0">
        <oddHeader>&amp;A</oddHeader>
        <oddFooter>&amp;CPage &amp;P&amp;R&amp;D</oddFooter>
      </headerFooter>
    </customSheetView>
    <customSheetView guid="{B148F6D0-D380-41BC-8CCF-9098DBC3211F}" topLeftCell="AA1">
      <selection activeCell="AM1" sqref="AM1"/>
      <pageMargins left="0.27" right="0.35" top="0.71" bottom="0.36" header="0.39" footer="0.5"/>
      <printOptions gridLines="1"/>
      <pageSetup orientation="landscape" horizontalDpi="4294967292" r:id="rId6"/>
      <headerFooter alignWithMargins="0">
        <oddHeader>&amp;A</oddHeader>
        <oddFooter>&amp;CPage &amp;P&amp;R&amp;D</oddFooter>
      </headerFooter>
    </customSheetView>
    <customSheetView guid="{A6685E51-6E0B-411A-8D94-6874F1684A20}" topLeftCell="AA1">
      <selection activeCell="AM1" sqref="AM1"/>
      <pageMargins left="0.27" right="0.35" top="0.71" bottom="0.36" header="0.39" footer="0.5"/>
      <printOptions gridLines="1"/>
      <pageSetup orientation="landscape" horizontalDpi="4294967292" r:id="rId7"/>
      <headerFooter alignWithMargins="0">
        <oddHeader>&amp;A</oddHeader>
        <oddFooter>&amp;CPage &amp;P&amp;R&amp;D</oddFooter>
      </headerFooter>
    </customSheetView>
  </customSheetViews>
  <phoneticPr fontId="0" type="noConversion"/>
  <printOptions gridLines="1" gridLinesSet="0"/>
  <pageMargins left="0.27" right="0.35" top="0.71" bottom="0.36" header="0.39" footer="0.5"/>
  <pageSetup orientation="landscape" horizontalDpi="4294967292" r:id="rId8"/>
  <headerFooter alignWithMargins="0">
    <oddHeader>&amp;A</oddHeader>
    <oddFooter>&amp;CPage &amp;P&amp;R&amp;D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V60"/>
  <sheetViews>
    <sheetView topLeftCell="AB1" workbookViewId="0">
      <selection activeCell="AN1" sqref="AN1"/>
    </sheetView>
  </sheetViews>
  <sheetFormatPr defaultRowHeight="13.2" x14ac:dyDescent="0.25"/>
  <cols>
    <col min="1" max="1" width="20.33203125" customWidth="1"/>
    <col min="2" max="2" width="11.33203125" customWidth="1"/>
    <col min="3" max="3" width="10.88671875" customWidth="1"/>
    <col min="4" max="4" width="12" customWidth="1"/>
    <col min="5" max="5" width="11.88671875" customWidth="1"/>
    <col min="6" max="6" width="11.6640625" customWidth="1"/>
    <col min="7" max="7" width="13.109375" customWidth="1"/>
    <col min="8" max="8" width="12.6640625" customWidth="1"/>
    <col min="9" max="9" width="15" customWidth="1"/>
    <col min="10" max="10" width="13.109375" customWidth="1"/>
    <col min="11" max="11" width="20.44140625" customWidth="1"/>
    <col min="12" max="12" width="10.44140625" customWidth="1"/>
    <col min="13" max="13" width="9.33203125" customWidth="1"/>
    <col min="14" max="14" width="9.5546875" customWidth="1"/>
    <col min="15" max="15" width="10.33203125" customWidth="1"/>
    <col min="16" max="16" width="10.6640625" customWidth="1"/>
    <col min="17" max="17" width="9.6640625" customWidth="1"/>
    <col min="18" max="18" width="9" customWidth="1"/>
    <col min="20" max="20" width="9.33203125" customWidth="1"/>
    <col min="22" max="22" width="14.109375" customWidth="1"/>
    <col min="23" max="23" width="21" customWidth="1"/>
    <col min="24" max="24" width="12.5546875" customWidth="1"/>
    <col min="25" max="25" width="12.109375" customWidth="1"/>
    <col min="26" max="27" width="10.88671875" customWidth="1"/>
    <col min="28" max="28" width="11.88671875" customWidth="1"/>
    <col min="29" max="29" width="12.33203125" customWidth="1"/>
    <col min="30" max="30" width="10.88671875" customWidth="1"/>
    <col min="31" max="31" width="13.33203125" customWidth="1"/>
    <col min="32" max="32" width="16.109375" customWidth="1"/>
    <col min="33" max="33" width="20.109375" customWidth="1"/>
    <col min="34" max="34" width="15.109375" customWidth="1"/>
    <col min="35" max="35" width="13.88671875" customWidth="1"/>
    <col min="36" max="36" width="13.5546875" customWidth="1"/>
    <col min="37" max="37" width="14.33203125" customWidth="1"/>
    <col min="38" max="38" width="13.6640625" customWidth="1"/>
    <col min="39" max="39" width="12" customWidth="1"/>
    <col min="40" max="40" width="14.33203125" customWidth="1"/>
    <col min="41" max="41" width="13.6640625" customWidth="1"/>
    <col min="42" max="42" width="20.88671875" customWidth="1"/>
    <col min="43" max="43" width="12.109375" customWidth="1"/>
    <col min="44" max="44" width="11.5546875" customWidth="1"/>
    <col min="45" max="45" width="12.6640625" customWidth="1"/>
    <col min="46" max="47" width="11.6640625" customWidth="1"/>
    <col min="48" max="48" width="16.5546875" customWidth="1"/>
  </cols>
  <sheetData>
    <row r="1" spans="1:48" x14ac:dyDescent="0.25">
      <c r="A1" s="1" t="s">
        <v>0</v>
      </c>
      <c r="B1" s="11" t="s">
        <v>28</v>
      </c>
      <c r="C1" s="11" t="s">
        <v>29</v>
      </c>
      <c r="D1" s="11" t="s">
        <v>30</v>
      </c>
      <c r="E1" s="11" t="s">
        <v>31</v>
      </c>
      <c r="F1" s="11" t="s">
        <v>32</v>
      </c>
      <c r="G1" s="13" t="s">
        <v>110</v>
      </c>
      <c r="H1" s="11" t="s">
        <v>109</v>
      </c>
      <c r="I1" s="11" t="s">
        <v>34</v>
      </c>
      <c r="J1" s="13" t="s">
        <v>35</v>
      </c>
      <c r="K1" s="1" t="s">
        <v>0</v>
      </c>
      <c r="L1" s="11" t="s">
        <v>36</v>
      </c>
      <c r="M1" s="11" t="s">
        <v>37</v>
      </c>
      <c r="N1" s="11" t="s">
        <v>38</v>
      </c>
      <c r="O1" s="11" t="s">
        <v>39</v>
      </c>
      <c r="P1" s="11" t="s">
        <v>40</v>
      </c>
      <c r="Q1" s="13" t="s">
        <v>41</v>
      </c>
      <c r="R1" s="13" t="s">
        <v>42</v>
      </c>
      <c r="S1" s="13" t="s">
        <v>43</v>
      </c>
      <c r="T1" s="13" t="s">
        <v>44</v>
      </c>
      <c r="U1" s="13" t="s">
        <v>45</v>
      </c>
      <c r="V1" s="13" t="s">
        <v>46</v>
      </c>
      <c r="W1" s="1" t="s">
        <v>0</v>
      </c>
      <c r="X1" s="13" t="s">
        <v>47</v>
      </c>
      <c r="Y1" s="13" t="s">
        <v>48</v>
      </c>
      <c r="Z1" s="13" t="s">
        <v>49</v>
      </c>
      <c r="AA1" s="13" t="s">
        <v>50</v>
      </c>
      <c r="AB1" s="13" t="s">
        <v>51</v>
      </c>
      <c r="AC1" s="13" t="s">
        <v>52</v>
      </c>
      <c r="AD1" s="13" t="s">
        <v>53</v>
      </c>
      <c r="AE1" s="13" t="s">
        <v>54</v>
      </c>
      <c r="AF1" s="13" t="s">
        <v>55</v>
      </c>
      <c r="AG1" s="1" t="s">
        <v>0</v>
      </c>
      <c r="AH1" s="13" t="s">
        <v>56</v>
      </c>
      <c r="AI1" s="13" t="s">
        <v>57</v>
      </c>
      <c r="AJ1" s="13" t="s">
        <v>58</v>
      </c>
      <c r="AK1" s="13" t="s">
        <v>59</v>
      </c>
      <c r="AL1" s="13" t="s">
        <v>60</v>
      </c>
      <c r="AM1" s="13" t="s">
        <v>61</v>
      </c>
      <c r="AN1" s="13" t="s">
        <v>62</v>
      </c>
      <c r="AO1" s="13" t="s">
        <v>63</v>
      </c>
      <c r="AP1" s="1" t="s">
        <v>0</v>
      </c>
      <c r="AQ1" s="13" t="s">
        <v>64</v>
      </c>
      <c r="AR1" s="13" t="s">
        <v>65</v>
      </c>
      <c r="AS1" s="13" t="s">
        <v>66</v>
      </c>
      <c r="AT1" s="13" t="s">
        <v>67</v>
      </c>
      <c r="AU1" s="11" t="s">
        <v>94</v>
      </c>
      <c r="AV1" s="3" t="s">
        <v>1</v>
      </c>
    </row>
    <row r="2" spans="1:48" x14ac:dyDescent="0.25">
      <c r="A2" t="s">
        <v>2</v>
      </c>
      <c r="B2" s="2"/>
      <c r="C2" s="2"/>
      <c r="D2" s="2"/>
      <c r="E2" s="2"/>
      <c r="F2" s="2"/>
      <c r="G2" s="2"/>
      <c r="H2" s="2"/>
      <c r="I2" s="2"/>
      <c r="J2" s="2"/>
      <c r="K2" t="s">
        <v>2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t="s">
        <v>2</v>
      </c>
      <c r="X2" s="2"/>
      <c r="Y2" s="2"/>
      <c r="Z2" s="2"/>
      <c r="AA2" s="2"/>
      <c r="AB2" s="2"/>
      <c r="AC2" s="2"/>
      <c r="AD2" s="2"/>
      <c r="AE2" s="2"/>
      <c r="AF2" s="2"/>
      <c r="AG2" t="s">
        <v>2</v>
      </c>
      <c r="AH2" s="2"/>
      <c r="AI2" s="2"/>
      <c r="AJ2" s="2"/>
      <c r="AK2" s="2"/>
      <c r="AL2" s="2"/>
      <c r="AM2" s="2"/>
      <c r="AN2" s="2"/>
      <c r="AO2" s="2"/>
      <c r="AP2" t="s">
        <v>2</v>
      </c>
      <c r="AQ2" s="2"/>
      <c r="AR2" s="2"/>
      <c r="AS2" s="2"/>
      <c r="AT2" s="2"/>
      <c r="AU2" s="2"/>
      <c r="AV2" s="2">
        <f>SUM(B2:AU2)</f>
        <v>0</v>
      </c>
    </row>
    <row r="3" spans="1:48" x14ac:dyDescent="0.25">
      <c r="A3" t="s">
        <v>3</v>
      </c>
      <c r="B3" s="2"/>
      <c r="C3" s="2"/>
      <c r="D3" s="2"/>
      <c r="E3" s="2"/>
      <c r="F3" s="2"/>
      <c r="G3" s="2"/>
      <c r="H3" s="2"/>
      <c r="I3" s="2"/>
      <c r="J3" s="2"/>
      <c r="K3" t="s">
        <v>3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t="s">
        <v>3</v>
      </c>
      <c r="X3" s="2"/>
      <c r="Y3" s="2"/>
      <c r="Z3" s="2"/>
      <c r="AA3" s="2"/>
      <c r="AB3" s="2"/>
      <c r="AC3" s="2"/>
      <c r="AD3" s="2"/>
      <c r="AE3" s="2"/>
      <c r="AF3" s="2"/>
      <c r="AG3" t="s">
        <v>3</v>
      </c>
      <c r="AH3" s="2"/>
      <c r="AI3" s="2"/>
      <c r="AJ3" s="2"/>
      <c r="AK3" s="2"/>
      <c r="AL3" s="2"/>
      <c r="AM3" s="2"/>
      <c r="AN3" s="2"/>
      <c r="AO3" s="2"/>
      <c r="AP3" t="s">
        <v>3</v>
      </c>
      <c r="AQ3" s="2"/>
      <c r="AR3" s="2"/>
      <c r="AS3" s="2"/>
      <c r="AT3" s="2"/>
      <c r="AU3" s="2"/>
      <c r="AV3" s="2" t="e">
        <f>#N/A</f>
        <v>#N/A</v>
      </c>
    </row>
    <row r="4" spans="1:48" x14ac:dyDescent="0.25">
      <c r="A4" t="s">
        <v>4</v>
      </c>
      <c r="B4" s="2"/>
      <c r="C4" s="2"/>
      <c r="D4" s="2"/>
      <c r="E4" s="2"/>
      <c r="F4" s="2"/>
      <c r="G4" s="2"/>
      <c r="H4" s="2"/>
      <c r="I4" s="2"/>
      <c r="J4" s="2"/>
      <c r="K4" t="s">
        <v>4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t="s">
        <v>4</v>
      </c>
      <c r="X4" s="2"/>
      <c r="Y4" s="2"/>
      <c r="Z4" s="2"/>
      <c r="AA4" s="2"/>
      <c r="AB4" s="2"/>
      <c r="AC4" s="2"/>
      <c r="AD4" s="2"/>
      <c r="AE4" s="2"/>
      <c r="AF4" s="2"/>
      <c r="AG4" t="s">
        <v>4</v>
      </c>
      <c r="AH4" s="2"/>
      <c r="AI4" s="2"/>
      <c r="AJ4" s="2"/>
      <c r="AK4" s="2"/>
      <c r="AL4" s="2"/>
      <c r="AM4" s="2"/>
      <c r="AN4" s="2"/>
      <c r="AO4" s="2"/>
      <c r="AP4" t="s">
        <v>4</v>
      </c>
      <c r="AQ4" s="2"/>
      <c r="AR4" s="2"/>
      <c r="AS4" s="2"/>
      <c r="AT4" s="2"/>
      <c r="AU4" s="2"/>
      <c r="AV4" s="2" t="e">
        <f>#N/A</f>
        <v>#N/A</v>
      </c>
    </row>
    <row r="5" spans="1:48" x14ac:dyDescent="0.25">
      <c r="A5" t="s">
        <v>5</v>
      </c>
      <c r="B5" s="2"/>
      <c r="C5" s="2"/>
      <c r="D5" s="2"/>
      <c r="E5" s="2"/>
      <c r="F5" s="2"/>
      <c r="G5" s="2"/>
      <c r="H5" s="2"/>
      <c r="I5" s="2"/>
      <c r="J5" s="2"/>
      <c r="K5" t="s">
        <v>5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t="s">
        <v>5</v>
      </c>
      <c r="X5" s="2"/>
      <c r="Y5" s="2"/>
      <c r="Z5" s="2"/>
      <c r="AA5" s="2"/>
      <c r="AB5" s="2"/>
      <c r="AC5" s="2"/>
      <c r="AD5" s="2"/>
      <c r="AE5" s="2"/>
      <c r="AF5" s="2"/>
      <c r="AG5" t="s">
        <v>5</v>
      </c>
      <c r="AH5" s="2"/>
      <c r="AI5" s="2"/>
      <c r="AJ5" s="2"/>
      <c r="AK5" s="2"/>
      <c r="AL5" s="2"/>
      <c r="AM5" s="2"/>
      <c r="AN5" s="2"/>
      <c r="AO5" s="2"/>
      <c r="AP5" t="s">
        <v>5</v>
      </c>
      <c r="AQ5" s="2"/>
      <c r="AR5" s="2"/>
      <c r="AS5" s="2"/>
      <c r="AT5" s="2"/>
      <c r="AU5" s="2"/>
      <c r="AV5" s="2" t="e">
        <f>#N/A</f>
        <v>#N/A</v>
      </c>
    </row>
    <row r="6" spans="1:48" x14ac:dyDescent="0.25">
      <c r="A6" t="s">
        <v>77</v>
      </c>
      <c r="B6" s="2"/>
      <c r="C6" s="2"/>
      <c r="D6" s="2"/>
      <c r="E6" s="2"/>
      <c r="F6" s="2"/>
      <c r="G6" s="2"/>
      <c r="H6" s="2"/>
      <c r="I6" s="2"/>
      <c r="J6" s="2"/>
      <c r="K6" t="s">
        <v>77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t="s">
        <v>77</v>
      </c>
      <c r="X6" s="2"/>
      <c r="Y6" s="2"/>
      <c r="Z6" s="2"/>
      <c r="AA6" s="2"/>
      <c r="AB6" s="2"/>
      <c r="AC6" s="2"/>
      <c r="AD6" s="2"/>
      <c r="AE6" s="2"/>
      <c r="AF6" s="2"/>
      <c r="AG6" t="s">
        <v>77</v>
      </c>
      <c r="AH6" s="2"/>
      <c r="AI6" s="2"/>
      <c r="AJ6" s="2"/>
      <c r="AK6" s="2"/>
      <c r="AL6" s="2"/>
      <c r="AM6" s="2"/>
      <c r="AN6" s="2"/>
      <c r="AO6" s="2"/>
      <c r="AP6" t="s">
        <v>77</v>
      </c>
      <c r="AQ6" s="2"/>
      <c r="AR6" s="2"/>
      <c r="AS6" s="2"/>
      <c r="AT6" s="2"/>
      <c r="AU6" s="2"/>
      <c r="AV6" s="2" t="e">
        <f>#N/A</f>
        <v>#N/A</v>
      </c>
    </row>
    <row r="7" spans="1:48" x14ac:dyDescent="0.25">
      <c r="A7" s="1" t="s">
        <v>6</v>
      </c>
      <c r="B7" s="2"/>
      <c r="C7" s="2"/>
      <c r="D7" s="2"/>
      <c r="E7" s="2"/>
      <c r="F7" s="2"/>
      <c r="H7" s="2"/>
      <c r="I7" s="2"/>
      <c r="J7" s="2"/>
      <c r="K7" s="1" t="s">
        <v>6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1" t="s">
        <v>6</v>
      </c>
      <c r="X7" s="2"/>
      <c r="Y7" s="2"/>
      <c r="Z7" s="2"/>
      <c r="AA7" s="2"/>
      <c r="AB7" s="2"/>
      <c r="AC7" s="2"/>
      <c r="AD7" s="2"/>
      <c r="AE7" s="2"/>
      <c r="AF7" s="2"/>
      <c r="AG7" s="1" t="s">
        <v>6</v>
      </c>
      <c r="AH7" s="2"/>
      <c r="AI7" s="2"/>
      <c r="AJ7" s="2"/>
      <c r="AK7" s="2"/>
      <c r="AL7" s="2"/>
      <c r="AM7" s="2"/>
      <c r="AN7" s="2"/>
      <c r="AO7" s="2"/>
      <c r="AP7" s="1" t="s">
        <v>6</v>
      </c>
      <c r="AQ7" s="2"/>
      <c r="AR7" s="2"/>
      <c r="AS7" s="2"/>
      <c r="AT7" s="2"/>
      <c r="AU7" s="2"/>
      <c r="AV7" s="2" t="e">
        <f>#N/A</f>
        <v>#N/A</v>
      </c>
    </row>
    <row r="8" spans="1:48" x14ac:dyDescent="0.25">
      <c r="A8" t="s">
        <v>80</v>
      </c>
      <c r="B8" s="2"/>
      <c r="C8" s="2"/>
      <c r="D8" s="2"/>
      <c r="E8" s="2"/>
      <c r="F8" s="2"/>
      <c r="G8" s="2"/>
      <c r="H8" s="2"/>
      <c r="I8" s="2"/>
      <c r="J8" s="2"/>
      <c r="K8" t="s">
        <v>90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t="s">
        <v>80</v>
      </c>
      <c r="X8" s="2"/>
      <c r="Y8" s="2"/>
      <c r="Z8" s="2"/>
      <c r="AA8" s="2"/>
      <c r="AB8" s="2"/>
      <c r="AC8" s="2"/>
      <c r="AD8" s="2"/>
      <c r="AE8" s="2"/>
      <c r="AF8" s="2"/>
      <c r="AG8" t="s">
        <v>80</v>
      </c>
      <c r="AH8" s="2"/>
      <c r="AI8" s="2"/>
      <c r="AJ8" s="2"/>
      <c r="AK8" s="2"/>
      <c r="AL8" s="2"/>
      <c r="AM8" s="2"/>
      <c r="AN8" s="2"/>
      <c r="AO8" s="2"/>
      <c r="AP8" t="s">
        <v>80</v>
      </c>
      <c r="AQ8" s="2"/>
      <c r="AR8" s="2"/>
      <c r="AS8" s="2"/>
      <c r="AT8" s="2"/>
      <c r="AU8" s="2"/>
      <c r="AV8" s="2" t="e">
        <f>#N/A</f>
        <v>#N/A</v>
      </c>
    </row>
    <row r="9" spans="1:48" x14ac:dyDescent="0.25">
      <c r="A9" t="s">
        <v>75</v>
      </c>
      <c r="B9" s="2"/>
      <c r="C9" s="2"/>
      <c r="D9" s="2"/>
      <c r="E9" s="2"/>
      <c r="F9" s="2"/>
      <c r="G9" s="2"/>
      <c r="H9" s="2"/>
      <c r="I9" s="2"/>
      <c r="J9" s="2"/>
      <c r="K9" t="s">
        <v>91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t="s">
        <v>91</v>
      </c>
      <c r="X9" s="2"/>
      <c r="Y9" s="2"/>
      <c r="Z9" s="2"/>
      <c r="AA9" s="2"/>
      <c r="AB9" s="2"/>
      <c r="AC9" s="2"/>
      <c r="AD9" s="2"/>
      <c r="AE9" s="2"/>
      <c r="AF9" s="2"/>
      <c r="AG9" t="s">
        <v>75</v>
      </c>
      <c r="AH9" s="2"/>
      <c r="AI9" s="2"/>
      <c r="AJ9" s="2"/>
      <c r="AK9" s="2"/>
      <c r="AL9" s="2"/>
      <c r="AM9" s="2"/>
      <c r="AN9" s="2"/>
      <c r="AO9" s="2"/>
      <c r="AP9" t="s">
        <v>92</v>
      </c>
      <c r="AQ9" s="2"/>
      <c r="AR9" s="2"/>
      <c r="AS9" s="2"/>
      <c r="AT9" s="2"/>
      <c r="AU9" s="2"/>
      <c r="AV9" s="2" t="e">
        <f>#N/A</f>
        <v>#N/A</v>
      </c>
    </row>
    <row r="10" spans="1:48" x14ac:dyDescent="0.25">
      <c r="A10" t="s">
        <v>71</v>
      </c>
      <c r="B10" s="2"/>
      <c r="C10" s="2"/>
      <c r="D10" s="2"/>
      <c r="E10" s="2"/>
      <c r="F10" s="2"/>
      <c r="G10" s="2"/>
      <c r="H10" s="2"/>
      <c r="I10" s="2"/>
      <c r="J10" s="2"/>
      <c r="K10" t="s">
        <v>71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t="s">
        <v>71</v>
      </c>
      <c r="X10" s="2"/>
      <c r="Y10" s="2"/>
      <c r="Z10" s="2"/>
      <c r="AA10" s="2"/>
      <c r="AB10" s="2"/>
      <c r="AC10" s="2"/>
      <c r="AD10" s="2"/>
      <c r="AE10" s="2"/>
      <c r="AF10" s="2"/>
      <c r="AG10" t="s">
        <v>71</v>
      </c>
      <c r="AH10" s="2"/>
      <c r="AI10" s="2"/>
      <c r="AJ10" s="2"/>
      <c r="AK10" s="2"/>
      <c r="AL10" s="2"/>
      <c r="AM10" s="2"/>
      <c r="AN10" s="2"/>
      <c r="AO10" s="2"/>
      <c r="AP10" t="s">
        <v>71</v>
      </c>
      <c r="AQ10" s="2"/>
      <c r="AR10" s="2"/>
      <c r="AS10" s="2"/>
      <c r="AT10" s="2"/>
      <c r="AU10" s="2"/>
      <c r="AV10" s="2" t="e">
        <f>#N/A</f>
        <v>#N/A</v>
      </c>
    </row>
    <row r="11" spans="1:48" x14ac:dyDescent="0.25">
      <c r="A11" t="s">
        <v>74</v>
      </c>
      <c r="B11" s="2"/>
      <c r="C11" s="2"/>
      <c r="D11" s="2"/>
      <c r="E11" s="2"/>
      <c r="F11" s="2"/>
      <c r="G11" s="2"/>
      <c r="H11" s="2"/>
      <c r="I11" s="2"/>
      <c r="J11" s="2"/>
      <c r="K11" t="s">
        <v>74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t="s">
        <v>74</v>
      </c>
      <c r="X11" s="2"/>
      <c r="Y11" s="2"/>
      <c r="Z11" s="2"/>
      <c r="AA11" s="2"/>
      <c r="AB11" s="2"/>
      <c r="AC11" s="2"/>
      <c r="AD11" s="2"/>
      <c r="AE11" s="2"/>
      <c r="AF11" s="2"/>
      <c r="AG11" t="s">
        <v>74</v>
      </c>
      <c r="AH11" s="2"/>
      <c r="AI11" s="2"/>
      <c r="AJ11" s="2"/>
      <c r="AK11" s="2"/>
      <c r="AL11" s="2"/>
      <c r="AM11" s="2"/>
      <c r="AN11" s="2"/>
      <c r="AO11" s="2"/>
      <c r="AP11" t="s">
        <v>74</v>
      </c>
      <c r="AQ11" s="2"/>
      <c r="AR11" s="2"/>
      <c r="AS11" s="2"/>
      <c r="AT11" s="2"/>
      <c r="AU11" s="2"/>
      <c r="AV11" s="2" t="e">
        <f>#N/A</f>
        <v>#N/A</v>
      </c>
    </row>
    <row r="12" spans="1:48" x14ac:dyDescent="0.25">
      <c r="A12" t="s">
        <v>69</v>
      </c>
      <c r="B12" s="2"/>
      <c r="C12" s="2"/>
      <c r="D12" s="2"/>
      <c r="E12" s="2"/>
      <c r="F12" s="2"/>
      <c r="G12" s="2"/>
      <c r="H12" s="2"/>
      <c r="I12" s="2"/>
      <c r="J12" s="2"/>
      <c r="K12" t="s">
        <v>69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t="s">
        <v>69</v>
      </c>
      <c r="X12" s="2"/>
      <c r="Y12" s="2"/>
      <c r="Z12" s="2"/>
      <c r="AA12" s="2"/>
      <c r="AB12" s="2"/>
      <c r="AC12" s="2"/>
      <c r="AD12" s="2"/>
      <c r="AE12" s="2"/>
      <c r="AF12" s="2"/>
      <c r="AG12" t="s">
        <v>69</v>
      </c>
      <c r="AH12" s="2"/>
      <c r="AI12" s="2"/>
      <c r="AJ12" s="2"/>
      <c r="AK12" s="2"/>
      <c r="AL12" s="2"/>
      <c r="AM12" s="2"/>
      <c r="AN12" s="2"/>
      <c r="AO12" s="2"/>
      <c r="AP12" t="s">
        <v>69</v>
      </c>
      <c r="AQ12" s="2"/>
      <c r="AR12" s="2"/>
      <c r="AS12" s="2"/>
      <c r="AT12" s="2"/>
      <c r="AU12" s="2"/>
      <c r="AV12" s="2" t="e">
        <f>#N/A</f>
        <v>#N/A</v>
      </c>
    </row>
    <row r="13" spans="1:48" x14ac:dyDescent="0.25">
      <c r="A13" t="s">
        <v>73</v>
      </c>
      <c r="B13" s="2"/>
      <c r="C13" s="2"/>
      <c r="D13" s="2"/>
      <c r="E13" s="2"/>
      <c r="F13" s="2"/>
      <c r="G13" s="2"/>
      <c r="H13" s="2"/>
      <c r="I13" s="2"/>
      <c r="J13" s="2"/>
      <c r="K13" t="s">
        <v>73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t="s">
        <v>73</v>
      </c>
      <c r="X13" s="2"/>
      <c r="Y13" s="2"/>
      <c r="Z13" s="2"/>
      <c r="AA13" s="2"/>
      <c r="AB13" s="2"/>
      <c r="AC13" s="2"/>
      <c r="AD13" s="2"/>
      <c r="AE13" s="2"/>
      <c r="AF13" s="2"/>
      <c r="AG13" t="s">
        <v>73</v>
      </c>
      <c r="AH13" s="2"/>
      <c r="AI13" s="2"/>
      <c r="AJ13" s="2"/>
      <c r="AK13" s="2"/>
      <c r="AL13" s="2"/>
      <c r="AM13" s="2"/>
      <c r="AN13" s="2"/>
      <c r="AO13" s="2"/>
      <c r="AP13" t="s">
        <v>73</v>
      </c>
      <c r="AQ13" s="2"/>
      <c r="AR13" s="2"/>
      <c r="AS13" s="2"/>
      <c r="AT13" s="2"/>
      <c r="AU13" s="2"/>
      <c r="AV13" s="2" t="e">
        <f>#N/A</f>
        <v>#N/A</v>
      </c>
    </row>
    <row r="14" spans="1:48" ht="13.8" thickBot="1" x14ac:dyDescent="0.3">
      <c r="A14" t="s">
        <v>72</v>
      </c>
      <c r="B14" s="2"/>
      <c r="C14" s="2"/>
      <c r="D14" s="2"/>
      <c r="E14" s="2"/>
      <c r="F14" s="2"/>
      <c r="G14" s="2"/>
      <c r="H14" s="2"/>
      <c r="I14" s="2"/>
      <c r="J14" s="2"/>
      <c r="K14" t="s">
        <v>72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t="s">
        <v>72</v>
      </c>
      <c r="X14" s="2"/>
      <c r="Y14" s="2"/>
      <c r="Z14" s="2"/>
      <c r="AA14" s="2"/>
      <c r="AB14" s="2"/>
      <c r="AC14" s="2"/>
      <c r="AD14" s="2"/>
      <c r="AE14" s="2"/>
      <c r="AF14" s="2"/>
      <c r="AG14" t="s">
        <v>72</v>
      </c>
      <c r="AH14" s="2"/>
      <c r="AI14" s="2"/>
      <c r="AJ14" s="2"/>
      <c r="AK14" s="2"/>
      <c r="AL14" s="2"/>
      <c r="AM14" s="2"/>
      <c r="AN14" s="2"/>
      <c r="AO14" s="2"/>
      <c r="AP14" t="s">
        <v>72</v>
      </c>
      <c r="AQ14" s="2"/>
      <c r="AR14" s="2"/>
      <c r="AS14" s="2"/>
      <c r="AT14" s="2"/>
      <c r="AU14" s="28"/>
      <c r="AV14" s="2" t="e">
        <f>#N/A</f>
        <v>#N/A</v>
      </c>
    </row>
    <row r="15" spans="1:48" ht="13.8" thickBot="1" x14ac:dyDescent="0.3">
      <c r="A15" s="10" t="s">
        <v>26</v>
      </c>
      <c r="B15" s="4"/>
      <c r="C15" s="5"/>
      <c r="D15" s="5"/>
      <c r="E15" s="5"/>
      <c r="F15" s="5"/>
      <c r="G15" s="5"/>
      <c r="H15" s="5"/>
      <c r="I15" s="5"/>
      <c r="J15" s="6"/>
      <c r="K15" s="10" t="s">
        <v>26</v>
      </c>
      <c r="L15" s="4"/>
      <c r="M15" s="5"/>
      <c r="N15" s="5"/>
      <c r="O15" s="5"/>
      <c r="P15" s="5"/>
      <c r="Q15" s="5"/>
      <c r="R15" s="5"/>
      <c r="S15" s="5"/>
      <c r="T15" s="5"/>
      <c r="U15" s="5"/>
      <c r="V15" s="6"/>
      <c r="W15" s="10" t="s">
        <v>26</v>
      </c>
      <c r="X15" s="4"/>
      <c r="Y15" s="5"/>
      <c r="Z15" s="5"/>
      <c r="AA15" s="5"/>
      <c r="AB15" s="5"/>
      <c r="AC15" s="5"/>
      <c r="AD15" s="5"/>
      <c r="AE15" s="5"/>
      <c r="AF15" s="6"/>
      <c r="AG15" s="10" t="s">
        <v>26</v>
      </c>
      <c r="AH15" s="4"/>
      <c r="AI15" s="5"/>
      <c r="AJ15" s="5"/>
      <c r="AK15" s="5"/>
      <c r="AL15" s="5"/>
      <c r="AM15" s="5"/>
      <c r="AN15" s="5"/>
      <c r="AO15" s="6"/>
      <c r="AP15" s="10" t="s">
        <v>26</v>
      </c>
      <c r="AQ15" s="4"/>
      <c r="AR15" s="5"/>
      <c r="AS15" s="5"/>
      <c r="AT15" s="5"/>
      <c r="AU15" s="5"/>
      <c r="AV15" s="29" t="e">
        <f>#N/A</f>
        <v>#N/A</v>
      </c>
    </row>
    <row r="16" spans="1:48" ht="13.8" thickBot="1" x14ac:dyDescent="0.3">
      <c r="A16" s="10" t="s">
        <v>27</v>
      </c>
      <c r="B16" s="4"/>
      <c r="C16" s="5"/>
      <c r="D16" s="5"/>
      <c r="E16" s="5"/>
      <c r="F16" s="5"/>
      <c r="G16" s="5"/>
      <c r="H16" s="5"/>
      <c r="I16" s="5"/>
      <c r="J16" s="5"/>
      <c r="K16" s="10" t="s">
        <v>27</v>
      </c>
      <c r="L16" s="4"/>
      <c r="M16" s="5"/>
      <c r="N16" s="5"/>
      <c r="O16" s="5"/>
      <c r="P16" s="5"/>
      <c r="Q16" s="5"/>
      <c r="R16" s="5"/>
      <c r="S16" s="5"/>
      <c r="T16" s="5"/>
      <c r="U16" s="5"/>
      <c r="V16" s="6"/>
      <c r="W16" s="10" t="s">
        <v>27</v>
      </c>
      <c r="X16" s="4"/>
      <c r="Y16" s="5"/>
      <c r="Z16" s="5"/>
      <c r="AA16" s="5"/>
      <c r="AB16" s="5"/>
      <c r="AC16" s="5"/>
      <c r="AD16" s="5"/>
      <c r="AE16" s="5"/>
      <c r="AF16" s="6"/>
      <c r="AG16" s="10" t="s">
        <v>27</v>
      </c>
      <c r="AH16" s="4"/>
      <c r="AI16" s="5"/>
      <c r="AJ16" s="5"/>
      <c r="AK16" s="5"/>
      <c r="AL16" s="5"/>
      <c r="AM16" s="5"/>
      <c r="AN16" s="5"/>
      <c r="AO16" s="6"/>
      <c r="AP16" s="10" t="s">
        <v>27</v>
      </c>
      <c r="AQ16" s="4"/>
      <c r="AR16" s="5"/>
      <c r="AS16" s="5"/>
      <c r="AT16" s="5"/>
      <c r="AU16" s="5"/>
      <c r="AV16" s="29" t="e">
        <f>#N/A</f>
        <v>#N/A</v>
      </c>
    </row>
    <row r="17" spans="1:48" x14ac:dyDescent="0.25">
      <c r="B17" s="2"/>
      <c r="C17" s="2"/>
      <c r="D17" s="2"/>
      <c r="E17" s="2"/>
      <c r="F17" s="2"/>
      <c r="G17" s="2"/>
      <c r="H17" s="2"/>
      <c r="I17" s="2"/>
      <c r="J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X17" s="2"/>
      <c r="Y17" s="2"/>
      <c r="Z17" s="2"/>
      <c r="AA17" s="2"/>
      <c r="AB17" s="2"/>
      <c r="AC17" s="2"/>
      <c r="AD17" s="2"/>
      <c r="AE17" s="2"/>
      <c r="AF17" s="2"/>
      <c r="AH17" s="2"/>
      <c r="AI17" s="2"/>
      <c r="AJ17" s="2"/>
      <c r="AK17" s="2"/>
      <c r="AL17" s="2"/>
      <c r="AM17" s="2"/>
      <c r="AN17" s="2"/>
      <c r="AO17" s="2"/>
      <c r="AQ17" s="2"/>
      <c r="AR17" s="2"/>
      <c r="AS17" s="2"/>
      <c r="AT17" s="2"/>
      <c r="AU17" s="2"/>
      <c r="AV17" s="2" t="e">
        <f>#N/A</f>
        <v>#N/A</v>
      </c>
    </row>
    <row r="18" spans="1:48" x14ac:dyDescent="0.25">
      <c r="A18" s="1" t="s">
        <v>7</v>
      </c>
      <c r="B18" s="2">
        <f>B7-B9-B10-B11-B12-B13-B14-B15-B16</f>
        <v>0</v>
      </c>
      <c r="C18" s="2" t="e">
        <f>#N/A</f>
        <v>#N/A</v>
      </c>
      <c r="D18" s="2" t="e">
        <f>#N/A</f>
        <v>#N/A</v>
      </c>
      <c r="E18" s="2" t="e">
        <f>#N/A</f>
        <v>#N/A</v>
      </c>
      <c r="F18" s="2" t="e">
        <f>#N/A</f>
        <v>#N/A</v>
      </c>
      <c r="G18" s="2">
        <f>H7-G9-G10-G11-G12-G13-G14-G15-G16</f>
        <v>0</v>
      </c>
      <c r="H18" s="2">
        <f>I7-H9-H10-H11-H12-H13-H14-H15-H16</f>
        <v>0</v>
      </c>
      <c r="I18" s="2" t="e">
        <f>#N/A</f>
        <v>#N/A</v>
      </c>
      <c r="J18" s="2" t="e">
        <f>#N/A</f>
        <v>#N/A</v>
      </c>
      <c r="K18" s="2" t="s">
        <v>17</v>
      </c>
      <c r="L18" s="2">
        <f>L7-L9-L10-L11-L12-L13-L14-L15-L16</f>
        <v>0</v>
      </c>
      <c r="M18" s="2" t="e">
        <f>#N/A</f>
        <v>#N/A</v>
      </c>
      <c r="N18" s="2" t="e">
        <f>#N/A</f>
        <v>#N/A</v>
      </c>
      <c r="O18" s="2" t="e">
        <f>#N/A</f>
        <v>#N/A</v>
      </c>
      <c r="P18" s="2" t="e">
        <f>#N/A</f>
        <v>#N/A</v>
      </c>
      <c r="Q18" s="2" t="e">
        <f>#N/A</f>
        <v>#N/A</v>
      </c>
      <c r="R18" s="2" t="e">
        <f>#N/A</f>
        <v>#N/A</v>
      </c>
      <c r="S18" s="2" t="e">
        <f>#N/A</f>
        <v>#N/A</v>
      </c>
      <c r="T18" s="2" t="e">
        <f>#N/A</f>
        <v>#N/A</v>
      </c>
      <c r="U18" s="2" t="e">
        <f>#N/A</f>
        <v>#N/A</v>
      </c>
      <c r="V18" s="2" t="e">
        <f>#N/A</f>
        <v>#N/A</v>
      </c>
      <c r="W18" s="2" t="s">
        <v>17</v>
      </c>
      <c r="X18" s="2"/>
      <c r="Y18" s="2"/>
      <c r="Z18" s="2"/>
      <c r="AA18" s="2"/>
      <c r="AB18" s="2"/>
      <c r="AC18" s="2"/>
      <c r="AD18" s="2"/>
      <c r="AE18" s="2"/>
      <c r="AF18" s="2"/>
      <c r="AG18" s="2" t="s">
        <v>17</v>
      </c>
      <c r="AH18" s="2"/>
      <c r="AI18" s="2"/>
      <c r="AJ18" s="2"/>
      <c r="AK18" s="2"/>
      <c r="AL18" s="2"/>
      <c r="AM18" s="2"/>
      <c r="AN18" s="2"/>
      <c r="AO18" s="2"/>
      <c r="AP18" s="2" t="s">
        <v>17</v>
      </c>
      <c r="AQ18" s="2"/>
      <c r="AR18" s="2"/>
      <c r="AS18" s="2"/>
      <c r="AT18" s="2"/>
      <c r="AU18" s="2"/>
      <c r="AV18" s="2" t="e">
        <f>#N/A</f>
        <v>#N/A</v>
      </c>
    </row>
    <row r="19" spans="1:48" x14ac:dyDescent="0.25">
      <c r="B19" s="2"/>
      <c r="C19" s="2"/>
      <c r="D19" s="2"/>
      <c r="E19" s="2"/>
      <c r="F19" s="2"/>
      <c r="G19" s="2"/>
      <c r="H19" s="2"/>
      <c r="I19" s="2"/>
      <c r="J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X19" s="2"/>
      <c r="Y19" s="2"/>
      <c r="Z19" s="2"/>
      <c r="AA19" s="2"/>
      <c r="AB19" s="2"/>
      <c r="AC19" s="2"/>
      <c r="AD19" s="2"/>
      <c r="AE19" s="2"/>
      <c r="AF19" s="2"/>
      <c r="AH19" s="2"/>
      <c r="AI19" s="2"/>
      <c r="AJ19" s="2"/>
      <c r="AK19" s="2"/>
      <c r="AL19" s="2"/>
      <c r="AM19" s="2"/>
      <c r="AN19" s="2"/>
      <c r="AO19" s="2"/>
      <c r="AQ19" s="2"/>
      <c r="AR19" s="2"/>
      <c r="AS19" s="2"/>
      <c r="AT19" s="2"/>
      <c r="AU19" s="2"/>
      <c r="AV19" s="2" t="e">
        <f>#N/A</f>
        <v>#N/A</v>
      </c>
    </row>
    <row r="20" spans="1:48" x14ac:dyDescent="0.25">
      <c r="A20" t="s">
        <v>8</v>
      </c>
      <c r="B20" s="2">
        <v>241715</v>
      </c>
      <c r="C20" s="2">
        <v>255977</v>
      </c>
      <c r="D20" s="2">
        <v>447752</v>
      </c>
      <c r="E20" s="2">
        <v>304858</v>
      </c>
      <c r="F20" s="2">
        <v>559800</v>
      </c>
      <c r="G20" s="2">
        <v>105397</v>
      </c>
      <c r="H20" s="2">
        <v>716152</v>
      </c>
      <c r="I20" s="2">
        <v>189145</v>
      </c>
      <c r="J20" s="2">
        <v>599752</v>
      </c>
      <c r="K20" t="s">
        <v>8</v>
      </c>
      <c r="L20" s="2">
        <v>617294</v>
      </c>
      <c r="M20" s="2">
        <v>855235</v>
      </c>
      <c r="N20" s="2">
        <v>377909</v>
      </c>
      <c r="O20" s="2">
        <v>616730</v>
      </c>
      <c r="P20" s="2">
        <v>1350000</v>
      </c>
      <c r="Q20" s="2">
        <v>354043</v>
      </c>
      <c r="R20" s="2">
        <v>234185</v>
      </c>
      <c r="S20" s="2">
        <v>297852</v>
      </c>
      <c r="T20" s="2">
        <v>157500</v>
      </c>
      <c r="U20" s="2">
        <v>200000</v>
      </c>
      <c r="V20" s="2">
        <v>890000</v>
      </c>
      <c r="W20" t="s">
        <v>8</v>
      </c>
      <c r="X20" s="2">
        <v>1786500</v>
      </c>
      <c r="Y20" s="2">
        <v>1186200</v>
      </c>
      <c r="Z20" s="2">
        <v>541800</v>
      </c>
      <c r="AA20" s="2">
        <v>369000</v>
      </c>
      <c r="AB20" s="2">
        <v>235800</v>
      </c>
      <c r="AC20" s="2">
        <v>389700</v>
      </c>
      <c r="AD20" s="2">
        <v>796500</v>
      </c>
      <c r="AE20" s="2">
        <v>81600</v>
      </c>
      <c r="AF20" s="2">
        <v>159000</v>
      </c>
      <c r="AG20" t="s">
        <v>8</v>
      </c>
      <c r="AH20" s="2">
        <v>469841</v>
      </c>
      <c r="AI20" s="2">
        <v>311294</v>
      </c>
      <c r="AJ20" s="2">
        <v>420365</v>
      </c>
      <c r="AK20" s="2">
        <v>521901</v>
      </c>
      <c r="AL20" s="2">
        <v>357516</v>
      </c>
      <c r="AM20" s="2">
        <v>1174500</v>
      </c>
      <c r="AN20" s="2">
        <v>891000</v>
      </c>
      <c r="AO20" s="2">
        <v>693000</v>
      </c>
      <c r="AP20" t="s">
        <v>8</v>
      </c>
      <c r="AQ20" s="2">
        <v>1014300</v>
      </c>
      <c r="AR20" s="2">
        <v>256500</v>
      </c>
      <c r="AS20" s="2">
        <v>238500</v>
      </c>
      <c r="AT20" s="2">
        <v>386988</v>
      </c>
      <c r="AU20" s="2">
        <v>600000</v>
      </c>
      <c r="AV20" s="2" t="e">
        <f>#N/A</f>
        <v>#N/A</v>
      </c>
    </row>
    <row r="21" spans="1:48" x14ac:dyDescent="0.25">
      <c r="A21" t="s">
        <v>9</v>
      </c>
      <c r="B21" s="2">
        <v>274610</v>
      </c>
      <c r="C21" s="2"/>
      <c r="D21" s="2"/>
      <c r="E21" s="2">
        <v>88704</v>
      </c>
      <c r="F21" s="2"/>
      <c r="G21" s="2">
        <v>125453</v>
      </c>
      <c r="H21" s="2">
        <v>85956</v>
      </c>
      <c r="I21" s="2">
        <v>42897</v>
      </c>
      <c r="J21" s="2"/>
      <c r="K21" t="s">
        <v>9</v>
      </c>
      <c r="L21" s="2">
        <v>296653</v>
      </c>
      <c r="M21" s="2">
        <v>209739</v>
      </c>
      <c r="N21" s="2"/>
      <c r="O21" s="2">
        <v>140025</v>
      </c>
      <c r="P21" s="2"/>
      <c r="Q21" s="2"/>
      <c r="R21" s="2"/>
      <c r="S21" s="2">
        <v>235675</v>
      </c>
      <c r="T21" s="2">
        <v>90000</v>
      </c>
      <c r="U21" s="2"/>
      <c r="V21" s="2">
        <v>0</v>
      </c>
      <c r="W21" t="s">
        <v>9</v>
      </c>
      <c r="X21" s="2"/>
      <c r="Y21" s="2"/>
      <c r="Z21" s="2">
        <v>202500</v>
      </c>
      <c r="AA21" s="2"/>
      <c r="AB21" s="2"/>
      <c r="AC21" s="2"/>
      <c r="AD21" s="2">
        <v>225000</v>
      </c>
      <c r="AE21" s="2"/>
      <c r="AF21" s="2"/>
      <c r="AG21" t="s">
        <v>9</v>
      </c>
      <c r="AH21" s="2">
        <v>100000</v>
      </c>
      <c r="AI21" s="2">
        <v>45000</v>
      </c>
      <c r="AJ21" s="2"/>
      <c r="AK21" s="2">
        <v>30000</v>
      </c>
      <c r="AL21" s="2"/>
      <c r="AM21" s="2">
        <v>100000</v>
      </c>
      <c r="AN21" s="2"/>
      <c r="AO21" s="2"/>
      <c r="AP21" t="s">
        <v>9</v>
      </c>
      <c r="AQ21" s="2">
        <v>100000</v>
      </c>
      <c r="AR21" s="2"/>
      <c r="AS21" s="2"/>
      <c r="AT21" s="2"/>
      <c r="AU21" s="2"/>
      <c r="AV21" s="2" t="e">
        <f>#N/A</f>
        <v>#N/A</v>
      </c>
    </row>
    <row r="22" spans="1:48" x14ac:dyDescent="0.25">
      <c r="A22" t="s">
        <v>10</v>
      </c>
      <c r="B22" s="2">
        <v>0</v>
      </c>
      <c r="C22" s="2"/>
      <c r="D22" s="2"/>
      <c r="E22" s="2"/>
      <c r="F22" s="2"/>
      <c r="G22" s="2"/>
      <c r="H22" s="2"/>
      <c r="I22" s="2">
        <v>0</v>
      </c>
      <c r="J22" s="2"/>
      <c r="K22" t="s">
        <v>10</v>
      </c>
      <c r="L22" s="2">
        <v>0</v>
      </c>
      <c r="M22" s="2">
        <v>0</v>
      </c>
      <c r="N22" s="2"/>
      <c r="O22" s="2">
        <v>0</v>
      </c>
      <c r="P22" s="2"/>
      <c r="Q22" s="2"/>
      <c r="R22" s="2"/>
      <c r="S22" s="2"/>
      <c r="T22" s="2"/>
      <c r="U22" s="2"/>
      <c r="V22" s="2"/>
      <c r="W22" t="s">
        <v>10</v>
      </c>
      <c r="X22" s="2"/>
      <c r="Y22" s="2"/>
      <c r="Z22" s="2"/>
      <c r="AA22" s="2"/>
      <c r="AB22" s="2"/>
      <c r="AC22" s="2"/>
      <c r="AD22" s="2"/>
      <c r="AE22" s="2"/>
      <c r="AF22" s="2"/>
      <c r="AG22" t="s">
        <v>10</v>
      </c>
      <c r="AH22" s="2"/>
      <c r="AI22" s="2"/>
      <c r="AJ22" s="2"/>
      <c r="AK22" s="2"/>
      <c r="AL22" s="2"/>
      <c r="AM22" s="2"/>
      <c r="AN22" s="2"/>
      <c r="AO22" s="2"/>
      <c r="AP22" t="s">
        <v>10</v>
      </c>
      <c r="AQ22" s="2"/>
      <c r="AR22" s="2"/>
      <c r="AS22" s="2"/>
      <c r="AT22" s="2"/>
      <c r="AU22" s="2"/>
      <c r="AV22" s="2" t="e">
        <f>#N/A</f>
        <v>#N/A</v>
      </c>
    </row>
    <row r="23" spans="1:48" x14ac:dyDescent="0.25">
      <c r="B23" s="2"/>
      <c r="C23" s="2"/>
      <c r="D23" s="2"/>
      <c r="E23" s="2"/>
      <c r="F23" s="2"/>
      <c r="G23" s="2"/>
      <c r="H23" s="2"/>
      <c r="I23" s="2"/>
      <c r="J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H23" s="2"/>
      <c r="AI23" s="2"/>
      <c r="AJ23" s="2"/>
      <c r="AK23" s="2"/>
      <c r="AL23" s="2"/>
      <c r="AM23" s="2"/>
      <c r="AN23" s="2"/>
      <c r="AO23" s="2"/>
      <c r="AQ23" s="2"/>
      <c r="AR23" s="2"/>
      <c r="AS23" s="2"/>
      <c r="AT23" s="2"/>
      <c r="AU23" s="2"/>
      <c r="AV23" s="2" t="e">
        <f>#N/A</f>
        <v>#N/A</v>
      </c>
    </row>
    <row r="24" spans="1:48" x14ac:dyDescent="0.25">
      <c r="A24" t="s">
        <v>11</v>
      </c>
      <c r="B24" s="2" t="e">
        <f>#N/A</f>
        <v>#N/A</v>
      </c>
      <c r="C24" s="2" t="e">
        <f>#N/A</f>
        <v>#N/A</v>
      </c>
      <c r="D24" s="2" t="e">
        <f>#N/A</f>
        <v>#N/A</v>
      </c>
      <c r="E24" s="2" t="e">
        <f>#N/A</f>
        <v>#N/A</v>
      </c>
      <c r="F24" s="2" t="e">
        <f>#N/A</f>
        <v>#N/A</v>
      </c>
      <c r="G24" s="2" t="e">
        <f>#N/A</f>
        <v>#N/A</v>
      </c>
      <c r="H24" s="2" t="e">
        <f>#N/A</f>
        <v>#N/A</v>
      </c>
      <c r="I24" s="2" t="e">
        <f>#N/A</f>
        <v>#N/A</v>
      </c>
      <c r="J24" s="2" t="e">
        <f>#N/A</f>
        <v>#N/A</v>
      </c>
      <c r="K24" t="s">
        <v>11</v>
      </c>
      <c r="L24" s="2" t="e">
        <f>#N/A</f>
        <v>#N/A</v>
      </c>
      <c r="M24" s="2" t="e">
        <f>#N/A</f>
        <v>#N/A</v>
      </c>
      <c r="N24" s="2" t="e">
        <f>#N/A</f>
        <v>#N/A</v>
      </c>
      <c r="O24" s="2" t="e">
        <f>#N/A</f>
        <v>#N/A</v>
      </c>
      <c r="P24" s="2" t="e">
        <f>#N/A</f>
        <v>#N/A</v>
      </c>
      <c r="Q24" s="2" t="e">
        <f>#N/A</f>
        <v>#N/A</v>
      </c>
      <c r="R24" s="2" t="e">
        <f>#N/A</f>
        <v>#N/A</v>
      </c>
      <c r="S24" s="2" t="e">
        <f>#N/A</f>
        <v>#N/A</v>
      </c>
      <c r="T24" s="2" t="e">
        <f>#N/A</f>
        <v>#N/A</v>
      </c>
      <c r="U24" s="2" t="e">
        <f>#N/A</f>
        <v>#N/A</v>
      </c>
      <c r="V24" s="2" t="e">
        <f>#N/A</f>
        <v>#N/A</v>
      </c>
      <c r="W24" t="s">
        <v>11</v>
      </c>
      <c r="X24" s="2"/>
      <c r="Y24" s="2"/>
      <c r="Z24" s="2"/>
      <c r="AA24" s="2"/>
      <c r="AB24" s="2"/>
      <c r="AC24" s="2"/>
      <c r="AD24" s="2"/>
      <c r="AE24" s="2"/>
      <c r="AF24" s="2"/>
      <c r="AG24" t="s">
        <v>11</v>
      </c>
      <c r="AH24" s="2"/>
      <c r="AI24" s="2"/>
      <c r="AJ24" s="2"/>
      <c r="AK24" s="2"/>
      <c r="AL24" s="2"/>
      <c r="AM24" s="2"/>
      <c r="AN24" s="2"/>
      <c r="AO24" s="2"/>
      <c r="AP24" t="s">
        <v>11</v>
      </c>
      <c r="AQ24" s="2"/>
      <c r="AR24" s="2"/>
      <c r="AS24" s="2"/>
      <c r="AT24" s="2"/>
      <c r="AU24" s="2"/>
      <c r="AV24" s="2" t="e">
        <f>#N/A</f>
        <v>#N/A</v>
      </c>
    </row>
    <row r="25" spans="1:48" x14ac:dyDescent="0.25">
      <c r="B25" s="2"/>
      <c r="C25" s="2"/>
      <c r="D25" s="2"/>
      <c r="E25" s="2"/>
      <c r="F25" s="2"/>
      <c r="G25" s="2"/>
      <c r="H25" s="2"/>
      <c r="I25" s="2"/>
      <c r="J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X25" s="2"/>
      <c r="Y25" s="2"/>
      <c r="Z25" s="2"/>
      <c r="AA25" s="2"/>
      <c r="AB25" s="2"/>
      <c r="AC25" s="2"/>
      <c r="AD25" s="2"/>
      <c r="AE25" s="2"/>
      <c r="AF25" s="2"/>
      <c r="AH25" s="2"/>
      <c r="AI25" s="2"/>
      <c r="AJ25" s="2"/>
      <c r="AK25" s="2"/>
      <c r="AL25" s="2"/>
      <c r="AM25" s="2"/>
      <c r="AN25" s="2"/>
      <c r="AO25" s="2"/>
      <c r="AQ25" s="2"/>
      <c r="AR25" s="2"/>
      <c r="AS25" s="2"/>
      <c r="AT25" s="2"/>
      <c r="AU25" s="2"/>
      <c r="AV25" s="2" t="e">
        <f>#N/A</f>
        <v>#N/A</v>
      </c>
    </row>
    <row r="26" spans="1:48" x14ac:dyDescent="0.25">
      <c r="A26" s="1" t="s">
        <v>12</v>
      </c>
      <c r="B26" s="2"/>
      <c r="C26" s="2"/>
      <c r="D26" s="2"/>
      <c r="E26" s="2"/>
      <c r="F26" s="2"/>
      <c r="H26" s="2"/>
      <c r="I26" s="2"/>
      <c r="J26" s="2"/>
      <c r="K26" s="1" t="s">
        <v>12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1" t="s">
        <v>12</v>
      </c>
      <c r="X26" s="2"/>
      <c r="Y26" s="2"/>
      <c r="Z26" s="2"/>
      <c r="AA26" s="2"/>
      <c r="AB26" s="2"/>
      <c r="AC26" s="2"/>
      <c r="AD26" s="2"/>
      <c r="AE26" s="2"/>
      <c r="AF26" s="2"/>
      <c r="AG26" s="1" t="s">
        <v>12</v>
      </c>
      <c r="AH26" s="2"/>
      <c r="AI26" s="2"/>
      <c r="AJ26" s="2"/>
      <c r="AK26" s="2"/>
      <c r="AL26" s="2"/>
      <c r="AM26" s="2"/>
      <c r="AN26" s="2"/>
      <c r="AO26" s="2"/>
      <c r="AP26" s="1" t="s">
        <v>12</v>
      </c>
      <c r="AQ26" s="2"/>
      <c r="AR26" s="2"/>
      <c r="AS26" s="2"/>
      <c r="AT26" s="2"/>
      <c r="AU26" s="2"/>
      <c r="AV26" s="2" t="e">
        <f>#N/A</f>
        <v>#N/A</v>
      </c>
    </row>
    <row r="27" spans="1:48" ht="13.8" thickBot="1" x14ac:dyDescent="0.3">
      <c r="B27" s="2"/>
      <c r="C27" s="2"/>
      <c r="D27" s="2"/>
      <c r="E27" s="2"/>
      <c r="F27" s="2"/>
      <c r="G27" s="2"/>
      <c r="H27" s="2"/>
      <c r="I27" s="2"/>
      <c r="J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X27" s="2"/>
      <c r="Y27" s="2"/>
      <c r="Z27" s="2"/>
      <c r="AA27" s="2"/>
      <c r="AB27" s="2"/>
      <c r="AC27" s="2"/>
      <c r="AD27" s="2"/>
      <c r="AE27" s="2"/>
      <c r="AF27" s="2"/>
      <c r="AH27" s="2"/>
      <c r="AI27" s="2"/>
      <c r="AJ27" s="2"/>
      <c r="AK27" s="2"/>
      <c r="AL27" s="2"/>
      <c r="AM27" s="2"/>
      <c r="AN27" s="2"/>
      <c r="AO27" s="2"/>
      <c r="AQ27" s="2"/>
      <c r="AR27" s="2"/>
      <c r="AS27" s="2"/>
      <c r="AT27" s="2"/>
      <c r="AU27" s="28"/>
      <c r="AV27" s="2" t="e">
        <f>#N/A</f>
        <v>#N/A</v>
      </c>
    </row>
    <row r="28" spans="1:48" ht="13.8" thickBot="1" x14ac:dyDescent="0.3">
      <c r="A28" s="1" t="s">
        <v>68</v>
      </c>
      <c r="B28" s="4"/>
      <c r="C28" s="5"/>
      <c r="D28" s="5"/>
      <c r="E28" s="5"/>
      <c r="F28" s="5"/>
      <c r="G28" s="5"/>
      <c r="H28" s="5"/>
      <c r="I28" s="5"/>
      <c r="J28" s="5"/>
      <c r="K28" s="1" t="s">
        <v>68</v>
      </c>
      <c r="L28" s="4"/>
      <c r="M28" s="5"/>
      <c r="N28" s="5"/>
      <c r="O28" s="5"/>
      <c r="P28" s="5"/>
      <c r="Q28" s="5"/>
      <c r="R28" s="5"/>
      <c r="S28" s="5"/>
      <c r="T28" s="5"/>
      <c r="U28" s="5"/>
      <c r="V28" s="6"/>
      <c r="W28" s="1" t="s">
        <v>68</v>
      </c>
      <c r="X28" s="4"/>
      <c r="Y28" s="5"/>
      <c r="Z28" s="5"/>
      <c r="AA28" s="5"/>
      <c r="AB28" s="5"/>
      <c r="AC28" s="5"/>
      <c r="AD28" s="5"/>
      <c r="AE28" s="5"/>
      <c r="AF28" s="6"/>
      <c r="AG28" s="1" t="s">
        <v>68</v>
      </c>
      <c r="AH28" s="4"/>
      <c r="AI28" s="5"/>
      <c r="AJ28" s="5"/>
      <c r="AK28" s="5"/>
      <c r="AL28" s="5"/>
      <c r="AM28" s="5"/>
      <c r="AN28" s="5"/>
      <c r="AO28" s="6"/>
      <c r="AP28" s="1" t="s">
        <v>68</v>
      </c>
      <c r="AQ28" s="4"/>
      <c r="AR28" s="5"/>
      <c r="AS28" s="5"/>
      <c r="AT28" s="5"/>
      <c r="AU28" s="30"/>
      <c r="AV28" s="2" t="e">
        <f>#N/A</f>
        <v>#N/A</v>
      </c>
    </row>
    <row r="29" spans="1:48" ht="13.8" thickBot="1" x14ac:dyDescent="0.3">
      <c r="A29" s="1" t="s">
        <v>15</v>
      </c>
      <c r="B29" s="4"/>
      <c r="C29" s="5"/>
      <c r="D29" s="5"/>
      <c r="E29" s="5"/>
      <c r="F29" s="5"/>
      <c r="G29" s="5"/>
      <c r="H29" s="5"/>
      <c r="I29" s="5"/>
      <c r="J29" s="5"/>
      <c r="K29" s="1" t="s">
        <v>15</v>
      </c>
      <c r="L29" s="4"/>
      <c r="M29" s="5"/>
      <c r="N29" s="5"/>
      <c r="O29" s="5"/>
      <c r="P29" s="5"/>
      <c r="Q29" s="5"/>
      <c r="R29" s="5"/>
      <c r="S29" s="5"/>
      <c r="T29" s="5"/>
      <c r="U29" s="5"/>
      <c r="V29" s="6"/>
      <c r="W29" s="1" t="s">
        <v>15</v>
      </c>
      <c r="X29" s="4"/>
      <c r="Y29" s="5"/>
      <c r="Z29" s="5"/>
      <c r="AA29" s="5"/>
      <c r="AB29" s="5"/>
      <c r="AC29" s="5"/>
      <c r="AD29" s="5"/>
      <c r="AE29" s="5"/>
      <c r="AF29" s="6"/>
      <c r="AG29" s="1" t="s">
        <v>15</v>
      </c>
      <c r="AH29" s="4"/>
      <c r="AI29" s="5"/>
      <c r="AJ29" s="5"/>
      <c r="AK29" s="5"/>
      <c r="AL29" s="5"/>
      <c r="AM29" s="5"/>
      <c r="AN29" s="5"/>
      <c r="AO29" s="6"/>
      <c r="AP29" s="1" t="s">
        <v>15</v>
      </c>
      <c r="AQ29" s="4"/>
      <c r="AR29" s="5"/>
      <c r="AS29" s="5"/>
      <c r="AT29" s="5"/>
      <c r="AU29" s="30"/>
      <c r="AV29" s="2" t="e">
        <f>#N/A</f>
        <v>#N/A</v>
      </c>
    </row>
    <row r="30" spans="1:48" ht="13.8" thickBot="1" x14ac:dyDescent="0.3">
      <c r="A30" s="1" t="s">
        <v>16</v>
      </c>
      <c r="B30" s="19"/>
      <c r="C30" s="20"/>
      <c r="D30" s="20"/>
      <c r="E30" s="20"/>
      <c r="F30" s="20"/>
      <c r="G30" s="20"/>
      <c r="H30" s="20"/>
      <c r="I30" s="20"/>
      <c r="J30" s="20"/>
      <c r="K30" s="1" t="s">
        <v>16</v>
      </c>
      <c r="L30" s="19"/>
      <c r="M30" s="20"/>
      <c r="N30" s="20"/>
      <c r="O30" s="20"/>
      <c r="P30" s="20"/>
      <c r="Q30" s="20"/>
      <c r="R30" s="20"/>
      <c r="S30" s="20"/>
      <c r="T30" s="20"/>
      <c r="U30" s="20"/>
      <c r="V30" s="21"/>
      <c r="W30" s="1" t="s">
        <v>16</v>
      </c>
      <c r="X30" s="19"/>
      <c r="Y30" s="20"/>
      <c r="Z30" s="20"/>
      <c r="AA30" s="20"/>
      <c r="AB30" s="20"/>
      <c r="AC30" s="20"/>
      <c r="AD30" s="20"/>
      <c r="AE30" s="20"/>
      <c r="AF30" s="21"/>
      <c r="AG30" s="1" t="s">
        <v>16</v>
      </c>
      <c r="AH30" s="19"/>
      <c r="AI30" s="20"/>
      <c r="AJ30" s="20"/>
      <c r="AK30" s="20"/>
      <c r="AL30" s="20"/>
      <c r="AM30" s="20"/>
      <c r="AN30" s="20"/>
      <c r="AO30" s="21"/>
      <c r="AP30" s="1" t="s">
        <v>16</v>
      </c>
      <c r="AQ30" s="19"/>
      <c r="AR30" s="20"/>
      <c r="AS30" s="20"/>
      <c r="AT30" s="20"/>
      <c r="AU30" s="31"/>
      <c r="AV30" s="2" t="e">
        <f>#N/A</f>
        <v>#N/A</v>
      </c>
    </row>
    <row r="31" spans="1:48" ht="13.8" thickBot="1" x14ac:dyDescent="0.3">
      <c r="A31" s="10" t="s">
        <v>85</v>
      </c>
      <c r="B31" s="4"/>
      <c r="C31" s="5"/>
      <c r="D31" s="5"/>
      <c r="E31" s="5"/>
      <c r="F31" s="5"/>
      <c r="G31" s="5"/>
      <c r="H31" s="5"/>
      <c r="I31" s="5"/>
      <c r="J31" s="5"/>
      <c r="K31" s="24" t="s">
        <v>78</v>
      </c>
      <c r="L31" s="4"/>
      <c r="M31" s="5"/>
      <c r="N31" s="5"/>
      <c r="O31" s="5"/>
      <c r="P31" s="5"/>
      <c r="Q31" s="5"/>
      <c r="R31" s="5"/>
      <c r="S31" s="5"/>
      <c r="T31" s="5"/>
      <c r="U31" s="5"/>
      <c r="V31" s="6"/>
      <c r="W31" s="27" t="s">
        <v>78</v>
      </c>
      <c r="X31" s="26"/>
      <c r="Y31" s="5"/>
      <c r="Z31" s="5"/>
      <c r="AA31" s="5"/>
      <c r="AB31" s="5"/>
      <c r="AC31" s="5"/>
      <c r="AD31" s="5"/>
      <c r="AE31" s="5"/>
      <c r="AF31" s="5"/>
      <c r="AG31" s="25" t="s">
        <v>78</v>
      </c>
      <c r="AH31" s="5"/>
      <c r="AI31" s="5"/>
      <c r="AJ31" s="5"/>
      <c r="AK31" s="5"/>
      <c r="AL31" s="5"/>
      <c r="AM31" s="5"/>
      <c r="AN31" s="5"/>
      <c r="AO31" s="5"/>
      <c r="AP31" s="25" t="s">
        <v>87</v>
      </c>
      <c r="AQ31" s="5"/>
      <c r="AR31" s="5"/>
      <c r="AS31" s="5"/>
      <c r="AT31" s="5"/>
      <c r="AU31" s="30"/>
      <c r="AV31" s="2" t="e">
        <f>#N/A</f>
        <v>#N/A</v>
      </c>
    </row>
    <row r="32" spans="1:48" x14ac:dyDescent="0.25">
      <c r="A32" s="1" t="s">
        <v>13</v>
      </c>
      <c r="B32" s="2">
        <f>B26-B28-B29-B30</f>
        <v>0</v>
      </c>
      <c r="C32" s="2" t="e">
        <f>#N/A</f>
        <v>#N/A</v>
      </c>
      <c r="D32" s="2" t="e">
        <f>#N/A</f>
        <v>#N/A</v>
      </c>
      <c r="E32" s="2" t="e">
        <f>#N/A</f>
        <v>#N/A</v>
      </c>
      <c r="F32" s="2" t="e">
        <f>#N/A</f>
        <v>#N/A</v>
      </c>
      <c r="G32" s="2" t="e">
        <f>#N/A</f>
        <v>#N/A</v>
      </c>
      <c r="H32" s="2">
        <f>H26-G28-G29-G30</f>
        <v>0</v>
      </c>
      <c r="I32" s="2" t="e">
        <f>#N/A</f>
        <v>#N/A</v>
      </c>
      <c r="J32" s="2" t="e">
        <f>#N/A</f>
        <v>#N/A</v>
      </c>
      <c r="K32" s="1" t="s">
        <v>13</v>
      </c>
      <c r="L32" s="2" t="e">
        <f>#N/A</f>
        <v>#N/A</v>
      </c>
      <c r="M32" s="2" t="e">
        <f>#N/A</f>
        <v>#N/A</v>
      </c>
      <c r="N32" s="2" t="e">
        <f>#N/A</f>
        <v>#N/A</v>
      </c>
      <c r="O32" s="2" t="e">
        <f>#N/A</f>
        <v>#N/A</v>
      </c>
      <c r="P32" s="2" t="e">
        <f>#N/A</f>
        <v>#N/A</v>
      </c>
      <c r="Q32" s="2" t="e">
        <f>#N/A</f>
        <v>#N/A</v>
      </c>
      <c r="R32" s="2" t="e">
        <f>#N/A</f>
        <v>#N/A</v>
      </c>
      <c r="S32" s="2" t="e">
        <f>#N/A</f>
        <v>#N/A</v>
      </c>
      <c r="T32" s="2" t="e">
        <f>#N/A</f>
        <v>#N/A</v>
      </c>
      <c r="U32" s="2" t="e">
        <f>#N/A</f>
        <v>#N/A</v>
      </c>
      <c r="V32" s="2" t="e">
        <f>#N/A</f>
        <v>#N/A</v>
      </c>
      <c r="W32" s="1" t="s">
        <v>13</v>
      </c>
      <c r="X32" s="2"/>
      <c r="Y32" s="2"/>
      <c r="Z32" s="2"/>
      <c r="AA32" s="2"/>
      <c r="AB32" s="2"/>
      <c r="AC32" s="2"/>
      <c r="AD32" s="2"/>
      <c r="AE32" s="2"/>
      <c r="AF32" s="2"/>
      <c r="AG32" s="1" t="s">
        <v>13</v>
      </c>
      <c r="AH32" s="2"/>
      <c r="AI32" s="2"/>
      <c r="AJ32" s="2"/>
      <c r="AK32" s="2"/>
      <c r="AL32" s="2"/>
      <c r="AM32" s="2"/>
      <c r="AN32" s="2"/>
      <c r="AO32" s="2"/>
      <c r="AP32" s="1" t="s">
        <v>13</v>
      </c>
      <c r="AQ32" s="2"/>
      <c r="AR32" s="2"/>
      <c r="AS32" s="2"/>
      <c r="AT32" s="2"/>
      <c r="AU32" s="2"/>
      <c r="AV32" s="2" t="e">
        <f>#N/A</f>
        <v>#N/A</v>
      </c>
    </row>
    <row r="33" spans="1:48" x14ac:dyDescent="0.25">
      <c r="AV33" s="2" t="e">
        <f>#N/A</f>
        <v>#N/A</v>
      </c>
    </row>
    <row r="34" spans="1:48" x14ac:dyDescent="0.25">
      <c r="A34" t="s">
        <v>14</v>
      </c>
      <c r="K34" t="s">
        <v>14</v>
      </c>
      <c r="W34" t="s">
        <v>14</v>
      </c>
      <c r="AG34" t="s">
        <v>14</v>
      </c>
      <c r="AP34" t="s">
        <v>14</v>
      </c>
      <c r="AV34" s="2" t="e">
        <f>#N/A</f>
        <v>#N/A</v>
      </c>
    </row>
    <row r="35" spans="1:48" x14ac:dyDescent="0.25">
      <c r="A35" t="s">
        <v>18</v>
      </c>
      <c r="B35" s="7"/>
      <c r="C35" s="7"/>
      <c r="D35" s="7"/>
      <c r="E35" s="7"/>
      <c r="F35" s="7"/>
      <c r="G35" s="7"/>
      <c r="H35" s="7"/>
      <c r="I35" s="7"/>
      <c r="J35" s="7"/>
      <c r="K35" t="s">
        <v>22</v>
      </c>
      <c r="L35" s="7"/>
      <c r="M35" s="7"/>
      <c r="N35" s="7"/>
      <c r="O35" s="7"/>
      <c r="P35" s="7"/>
      <c r="Q35" s="7"/>
      <c r="R35" s="7"/>
      <c r="S35" s="7"/>
      <c r="T35" s="8"/>
      <c r="U35" s="8"/>
      <c r="V35" s="7"/>
      <c r="W35" t="s">
        <v>22</v>
      </c>
      <c r="X35" s="7"/>
      <c r="Y35" s="7"/>
      <c r="Z35" s="7"/>
      <c r="AA35" s="7"/>
      <c r="AB35" s="7"/>
      <c r="AC35" s="7"/>
      <c r="AD35" s="7"/>
      <c r="AE35" s="7"/>
      <c r="AF35" s="7"/>
      <c r="AG35" t="s">
        <v>22</v>
      </c>
      <c r="AH35" s="7"/>
      <c r="AI35" s="7"/>
      <c r="AJ35" s="7"/>
      <c r="AK35" s="7"/>
      <c r="AL35" s="7"/>
      <c r="AM35" s="7"/>
      <c r="AN35" s="7"/>
      <c r="AO35" s="7"/>
      <c r="AP35" t="s">
        <v>22</v>
      </c>
      <c r="AQ35" s="7"/>
      <c r="AR35" s="7"/>
      <c r="AS35" s="7"/>
      <c r="AT35" s="7"/>
      <c r="AU35" s="7"/>
      <c r="AV35" s="2" t="e">
        <f>#N/A</f>
        <v>#N/A</v>
      </c>
    </row>
    <row r="36" spans="1:48" x14ac:dyDescent="0.25">
      <c r="A36" t="s">
        <v>19</v>
      </c>
      <c r="B36" s="7"/>
      <c r="C36" s="7"/>
      <c r="D36" s="7"/>
      <c r="E36" s="7"/>
      <c r="F36" s="7"/>
      <c r="G36" s="7"/>
      <c r="H36" s="7"/>
      <c r="I36" s="7"/>
      <c r="J36" s="7"/>
      <c r="K36" t="s">
        <v>23</v>
      </c>
      <c r="L36" s="7"/>
      <c r="M36" s="7"/>
      <c r="N36" s="7"/>
      <c r="O36" s="7"/>
      <c r="P36" s="7"/>
      <c r="Q36" s="7"/>
      <c r="R36" s="7"/>
      <c r="S36" s="7"/>
      <c r="T36" s="8"/>
      <c r="U36" s="8"/>
      <c r="V36" s="7"/>
      <c r="W36" t="s">
        <v>23</v>
      </c>
      <c r="X36" s="7"/>
      <c r="Y36" s="7"/>
      <c r="Z36" s="7"/>
      <c r="AA36" s="7"/>
      <c r="AB36" s="7"/>
      <c r="AC36" s="7"/>
      <c r="AD36" s="7"/>
      <c r="AE36" s="7"/>
      <c r="AF36" s="7"/>
      <c r="AG36" t="s">
        <v>23</v>
      </c>
      <c r="AH36" s="7"/>
      <c r="AI36" s="7"/>
      <c r="AJ36" s="7"/>
      <c r="AK36" s="7"/>
      <c r="AL36" s="7"/>
      <c r="AM36" s="7"/>
      <c r="AN36" s="7"/>
      <c r="AO36" s="7"/>
      <c r="AP36" t="s">
        <v>88</v>
      </c>
      <c r="AQ36" s="7"/>
      <c r="AR36" s="7"/>
      <c r="AS36" s="7"/>
      <c r="AT36" s="7"/>
      <c r="AU36" s="7"/>
      <c r="AV36" s="2" t="e">
        <f>#N/A</f>
        <v>#N/A</v>
      </c>
    </row>
    <row r="37" spans="1:48" x14ac:dyDescent="0.25">
      <c r="A37" s="9" t="s">
        <v>20</v>
      </c>
      <c r="B37" s="7"/>
      <c r="C37" s="7"/>
      <c r="D37" s="7"/>
      <c r="E37" s="7"/>
      <c r="F37" s="7"/>
      <c r="G37" s="7"/>
      <c r="H37" s="7"/>
      <c r="I37" s="7"/>
      <c r="J37" s="7"/>
      <c r="K37" t="s">
        <v>24</v>
      </c>
      <c r="L37" s="7"/>
      <c r="M37" s="7"/>
      <c r="N37" s="7"/>
      <c r="O37" s="7"/>
      <c r="P37" s="7"/>
      <c r="Q37" s="7"/>
      <c r="R37" s="7"/>
      <c r="S37" s="7"/>
      <c r="T37" s="8"/>
      <c r="U37" s="8"/>
      <c r="V37" s="7"/>
      <c r="W37" t="s">
        <v>24</v>
      </c>
      <c r="X37" s="7"/>
      <c r="Y37" s="7"/>
      <c r="Z37" s="7"/>
      <c r="AA37" s="7"/>
      <c r="AB37" s="7"/>
      <c r="AC37" s="7"/>
      <c r="AD37" s="7"/>
      <c r="AE37" s="7"/>
      <c r="AF37" s="7"/>
      <c r="AG37" t="s">
        <v>24</v>
      </c>
      <c r="AH37" s="7"/>
      <c r="AI37" s="7"/>
      <c r="AJ37" s="7"/>
      <c r="AK37" s="7"/>
      <c r="AL37" s="7"/>
      <c r="AM37" s="7"/>
      <c r="AN37" s="7"/>
      <c r="AO37" s="7"/>
      <c r="AP37" t="s">
        <v>24</v>
      </c>
      <c r="AQ37" s="7"/>
      <c r="AR37" s="7"/>
      <c r="AS37" s="7"/>
      <c r="AT37" s="7"/>
      <c r="AU37" s="7"/>
      <c r="AV37" s="2" t="e">
        <f>#N/A</f>
        <v>#N/A</v>
      </c>
    </row>
    <row r="38" spans="1:48" x14ac:dyDescent="0.25">
      <c r="A38" t="s">
        <v>21</v>
      </c>
      <c r="B38" s="7"/>
      <c r="C38" s="7"/>
      <c r="D38" s="7"/>
      <c r="E38" s="7"/>
      <c r="F38" s="7"/>
      <c r="G38" s="7"/>
      <c r="H38" s="7"/>
      <c r="I38" s="7"/>
      <c r="J38" s="7"/>
      <c r="K38" t="s">
        <v>21</v>
      </c>
      <c r="L38" s="7"/>
      <c r="M38" s="7"/>
      <c r="N38" s="7"/>
      <c r="O38" s="7"/>
      <c r="P38" s="7"/>
      <c r="Q38" s="7"/>
      <c r="R38" s="7"/>
      <c r="S38" s="7"/>
      <c r="T38" s="8"/>
      <c r="U38" s="8"/>
      <c r="V38" s="7"/>
      <c r="W38" t="s">
        <v>21</v>
      </c>
      <c r="X38" s="7"/>
      <c r="Y38" s="7"/>
      <c r="Z38" s="7"/>
      <c r="AA38" s="7"/>
      <c r="AB38" s="7"/>
      <c r="AC38" s="7"/>
      <c r="AD38" s="7"/>
      <c r="AE38" s="7"/>
      <c r="AF38" s="7"/>
      <c r="AG38" t="s">
        <v>21</v>
      </c>
      <c r="AH38" s="7"/>
      <c r="AI38" s="7"/>
      <c r="AJ38" s="7"/>
      <c r="AK38" s="7"/>
      <c r="AL38" s="7"/>
      <c r="AM38" s="7"/>
      <c r="AN38" s="7"/>
      <c r="AO38" s="7"/>
      <c r="AP38" t="s">
        <v>21</v>
      </c>
      <c r="AQ38" s="7"/>
      <c r="AR38" s="7"/>
      <c r="AS38" s="7"/>
      <c r="AT38" s="7"/>
      <c r="AU38" s="7"/>
      <c r="AV38" s="2" t="e">
        <f>#N/A</f>
        <v>#N/A</v>
      </c>
    </row>
    <row r="39" spans="1:48" x14ac:dyDescent="0.25">
      <c r="A39" t="s">
        <v>81</v>
      </c>
      <c r="B39" s="7"/>
      <c r="C39" s="7"/>
      <c r="D39" s="7"/>
      <c r="E39" s="7"/>
      <c r="F39" s="7"/>
      <c r="G39" s="7"/>
      <c r="H39" s="7"/>
      <c r="I39" s="7"/>
      <c r="J39" s="7"/>
      <c r="K39" s="22" t="s">
        <v>81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23" t="s">
        <v>81</v>
      </c>
      <c r="X39" s="7"/>
      <c r="Y39" s="7"/>
      <c r="Z39" s="7"/>
      <c r="AA39" s="7"/>
      <c r="AB39" s="7"/>
      <c r="AC39" s="7"/>
      <c r="AD39" s="7"/>
      <c r="AE39" s="7"/>
      <c r="AF39" s="7"/>
      <c r="AG39" s="22" t="s">
        <v>86</v>
      </c>
      <c r="AH39" s="7"/>
      <c r="AI39" s="7"/>
      <c r="AJ39" s="7"/>
      <c r="AK39" s="7"/>
      <c r="AL39" s="7"/>
      <c r="AM39" s="7"/>
      <c r="AN39" s="7"/>
      <c r="AO39" s="7"/>
      <c r="AP39" s="22" t="s">
        <v>81</v>
      </c>
      <c r="AQ39" s="7"/>
      <c r="AR39" s="7"/>
      <c r="AS39" s="7"/>
      <c r="AT39" s="7"/>
      <c r="AU39" s="7"/>
      <c r="AV39" s="2" t="e">
        <f>#N/A</f>
        <v>#N/A</v>
      </c>
    </row>
    <row r="40" spans="1:48" x14ac:dyDescent="0.25">
      <c r="A40" s="10" t="s">
        <v>89</v>
      </c>
      <c r="W40" s="2"/>
    </row>
    <row r="41" spans="1:48" x14ac:dyDescent="0.25">
      <c r="W41" s="2"/>
    </row>
    <row r="42" spans="1:48" x14ac:dyDescent="0.25">
      <c r="W42" s="2"/>
    </row>
    <row r="43" spans="1:48" x14ac:dyDescent="0.25">
      <c r="A43" s="1"/>
    </row>
    <row r="49" spans="1:1" x14ac:dyDescent="0.25">
      <c r="A49" s="1"/>
    </row>
    <row r="56" spans="1:1" x14ac:dyDescent="0.25">
      <c r="A56" s="1"/>
    </row>
    <row r="58" spans="1:1" x14ac:dyDescent="0.25">
      <c r="A58" s="1"/>
    </row>
    <row r="60" spans="1:1" x14ac:dyDescent="0.25">
      <c r="A60" s="1"/>
    </row>
  </sheetData>
  <customSheetViews>
    <customSheetView guid="{787CEAB0-B665-4DDC-B6D5-0EF4B4179B2C}" topLeftCell="AB1">
      <selection activeCell="AN1" sqref="AN1"/>
      <pageMargins left="0.27" right="0.35" top="0.71" bottom="0.36" header="0.39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  <customSheetView guid="{32FA922B-D311-4A17-9E95-50C57C186216}" topLeftCell="AB1">
      <selection activeCell="AN1" sqref="AN1"/>
      <pageMargins left="0.27" right="0.35" top="0.71" bottom="0.36" header="0.39" footer="0.5"/>
      <printOptions gridLines="1"/>
      <pageSetup orientation="landscape" horizontalDpi="4294967292" r:id="rId2"/>
      <headerFooter alignWithMargins="0">
        <oddHeader>&amp;A</oddHeader>
        <oddFooter>Page &amp;P</oddFooter>
      </headerFooter>
    </customSheetView>
    <customSheetView guid="{AD1DD6D4-9126-4937-AE78-38B0663E3739}" topLeftCell="AB1">
      <selection activeCell="AN1" sqref="AN1"/>
      <pageMargins left="0.27" right="0.35" top="0.71" bottom="0.36" header="0.39" footer="0.5"/>
      <printOptions gridLines="1"/>
      <pageSetup orientation="landscape" horizontalDpi="4294967292" r:id="rId3"/>
      <headerFooter alignWithMargins="0">
        <oddHeader>&amp;A</oddHeader>
        <oddFooter>Page &amp;P</oddFooter>
      </headerFooter>
    </customSheetView>
    <customSheetView guid="{007B44AF-685B-4B37-9750-B07A99A25CF6}" topLeftCell="AP4">
      <selection activeCell="AQ2" sqref="AQ2"/>
      <pageMargins left="0.27" right="0.35" top="0.71" bottom="0.36" header="0.39" footer="0.5"/>
      <printOptions gridLines="1"/>
      <pageSetup orientation="landscape" horizontalDpi="4294967292" r:id="rId4"/>
      <headerFooter alignWithMargins="0">
        <oddHeader>&amp;A</oddHeader>
        <oddFooter>Page &amp;P</oddFooter>
      </headerFooter>
    </customSheetView>
    <customSheetView guid="{AA02AC12-6E1B-4019-BD01-AFF4D21A6ABD}" topLeftCell="AB1">
      <selection activeCell="AN1" sqref="AN1"/>
      <pageMargins left="0.27" right="0.35" top="0.71" bottom="0.36" header="0.39" footer="0.5"/>
      <printOptions gridLines="1"/>
      <pageSetup orientation="landscape" horizontalDpi="4294967292" r:id="rId5"/>
      <headerFooter alignWithMargins="0">
        <oddHeader>&amp;A</oddHeader>
        <oddFooter>Page &amp;P</oddFooter>
      </headerFooter>
    </customSheetView>
    <customSheetView guid="{B148F6D0-D380-41BC-8CCF-9098DBC3211F}" topLeftCell="AB1">
      <selection activeCell="AN1" sqref="AN1"/>
      <pageMargins left="0.27" right="0.35" top="0.71" bottom="0.36" header="0.39" footer="0.5"/>
      <printOptions gridLines="1"/>
      <pageSetup orientation="landscape" horizontalDpi="4294967292" r:id="rId6"/>
      <headerFooter alignWithMargins="0">
        <oddHeader>&amp;A</oddHeader>
        <oddFooter>Page &amp;P</oddFooter>
      </headerFooter>
    </customSheetView>
    <customSheetView guid="{A6685E51-6E0B-411A-8D94-6874F1684A20}" topLeftCell="AB1">
      <selection activeCell="AN1" sqref="AN1"/>
      <pageMargins left="0.27" right="0.35" top="0.71" bottom="0.36" header="0.39" footer="0.5"/>
      <printOptions gridLines="1"/>
      <pageSetup orientation="landscape" horizontalDpi="4294967292" r:id="rId7"/>
      <headerFooter alignWithMargins="0">
        <oddHeader>&amp;A</oddHeader>
        <oddFooter>Page &amp;P</oddFooter>
      </headerFooter>
    </customSheetView>
  </customSheetViews>
  <phoneticPr fontId="0" type="noConversion"/>
  <printOptions gridLines="1" gridLinesSet="0"/>
  <pageMargins left="0.27" right="0.35" top="0.71" bottom="0.36" header="0.39" footer="0.5"/>
  <pageSetup orientation="landscape" horizontalDpi="4294967292" r:id="rId8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8:H8"/>
  <sheetViews>
    <sheetView workbookViewId="0">
      <selection activeCell="A4" sqref="A4"/>
    </sheetView>
  </sheetViews>
  <sheetFormatPr defaultRowHeight="13.2" x14ac:dyDescent="0.25"/>
  <sheetData>
    <row r="8" spans="1:8" ht="17.399999999999999" x14ac:dyDescent="0.3">
      <c r="A8" s="179" t="s">
        <v>133</v>
      </c>
      <c r="B8" s="179"/>
      <c r="C8" s="179"/>
      <c r="D8" s="179"/>
      <c r="E8" s="179"/>
      <c r="F8" s="179"/>
      <c r="G8" s="179"/>
      <c r="H8" s="179"/>
    </row>
  </sheetData>
  <customSheetViews>
    <customSheetView guid="{787CEAB0-B665-4DDC-B6D5-0EF4B4179B2C}">
      <selection activeCell="A4" sqref="A4"/>
      <pageMargins left="0.75" right="0.75" top="1" bottom="1" header="0.5" footer="0.5"/>
      <headerFooter alignWithMargins="0"/>
    </customSheetView>
    <customSheetView guid="{32FA922B-D311-4A17-9E95-50C57C186216}">
      <selection activeCell="A4" sqref="A4"/>
      <pageMargins left="0.75" right="0.75" top="1" bottom="1" header="0.5" footer="0.5"/>
      <headerFooter alignWithMargins="0"/>
    </customSheetView>
    <customSheetView guid="{AD1DD6D4-9126-4937-AE78-38B0663E3739}">
      <selection activeCell="A4" sqref="A4"/>
      <pageMargins left="0.75" right="0.75" top="1" bottom="1" header="0.5" footer="0.5"/>
      <headerFooter alignWithMargins="0"/>
    </customSheetView>
    <customSheetView guid="{007B44AF-685B-4B37-9750-B07A99A25CF6}">
      <selection activeCell="A4" sqref="A4"/>
      <pageMargins left="0.75" right="0.75" top="1" bottom="1" header="0.5" footer="0.5"/>
      <headerFooter alignWithMargins="0"/>
    </customSheetView>
    <customSheetView guid="{AA02AC12-6E1B-4019-BD01-AFF4D21A6ABD}">
      <selection activeCell="A4" sqref="A4"/>
      <pageMargins left="0.75" right="0.75" top="1" bottom="1" header="0.5" footer="0.5"/>
      <headerFooter alignWithMargins="0"/>
    </customSheetView>
    <customSheetView guid="{B148F6D0-D380-41BC-8CCF-9098DBC3211F}">
      <selection activeCell="A4" sqref="A4"/>
      <pageMargins left="0.75" right="0.75" top="1" bottom="1" header="0.5" footer="0.5"/>
      <headerFooter alignWithMargins="0"/>
    </customSheetView>
    <customSheetView guid="{A6685E51-6E0B-411A-8D94-6874F1684A20}">
      <selection activeCell="A4" sqref="A4"/>
      <pageMargins left="0.75" right="0.75" top="1" bottom="1" header="0.5" footer="0.5"/>
      <headerFooter alignWithMargins="0"/>
    </customSheetView>
  </customSheetViews>
  <mergeCells count="1">
    <mergeCell ref="A8:H8"/>
  </mergeCells>
  <phoneticPr fontId="8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CB64"/>
  <sheetViews>
    <sheetView zoomScale="90" zoomScaleNormal="90" workbookViewId="0">
      <pane xSplit="1" ySplit="23" topLeftCell="BG45" activePane="bottomRight" state="frozen"/>
      <selection pane="topRight" activeCell="B1" sqref="B1"/>
      <selection pane="bottomLeft" activeCell="A24" sqref="A24"/>
      <selection pane="bottomRight" sqref="A1:BZ64"/>
    </sheetView>
  </sheetViews>
  <sheetFormatPr defaultColWidth="9.109375" defaultRowHeight="13.2" x14ac:dyDescent="0.25"/>
  <cols>
    <col min="1" max="1" width="26.44140625" style="63" bestFit="1" customWidth="1"/>
    <col min="2" max="7" width="12.109375" style="63" customWidth="1"/>
    <col min="8" max="8" width="16.33203125" style="63" bestFit="1" customWidth="1"/>
    <col min="9" max="11" width="12.109375" style="63" customWidth="1"/>
    <col min="12" max="12" width="11.88671875" style="63" bestFit="1" customWidth="1"/>
    <col min="13" max="24" width="12.109375" style="63" customWidth="1"/>
    <col min="25" max="25" width="17.33203125" style="63" bestFit="1" customWidth="1"/>
    <col min="26" max="26" width="12.109375" style="63" customWidth="1"/>
    <col min="27" max="27" width="12" style="63" customWidth="1"/>
    <col min="28" max="28" width="16.88671875" style="63" bestFit="1" customWidth="1"/>
    <col min="29" max="32" width="12.109375" style="63" customWidth="1"/>
    <col min="33" max="33" width="14.6640625" style="63" bestFit="1" customWidth="1"/>
    <col min="34" max="34" width="15.5546875" style="63" bestFit="1" customWidth="1"/>
    <col min="35" max="35" width="15.5546875" style="63" customWidth="1"/>
    <col min="36" max="36" width="12.109375" style="63" customWidth="1"/>
    <col min="37" max="37" width="12.5546875" style="63" bestFit="1" customWidth="1"/>
    <col min="38" max="38" width="19.88671875" style="63" bestFit="1" customWidth="1"/>
    <col min="39" max="39" width="13.6640625" style="63" bestFit="1" customWidth="1"/>
    <col min="40" max="41" width="15.109375" style="63" customWidth="1"/>
    <col min="42" max="42" width="12.109375" style="63" customWidth="1"/>
    <col min="43" max="43" width="19.33203125" style="63" bestFit="1" customWidth="1"/>
    <col min="44" max="50" width="12.109375" style="63" customWidth="1"/>
    <col min="51" max="51" width="20.21875" style="63" bestFit="1" customWidth="1"/>
    <col min="52" max="66" width="12.109375" style="63" customWidth="1"/>
    <col min="67" max="67" width="12.5546875" style="63" customWidth="1"/>
    <col min="68" max="68" width="12.109375" style="63" customWidth="1"/>
    <col min="69" max="69" width="13.5546875" style="63" customWidth="1"/>
    <col min="70" max="77" width="12.109375" style="63" customWidth="1"/>
    <col min="78" max="78" width="16.5546875" style="63" customWidth="1"/>
    <col min="79" max="79" width="9.109375" style="63"/>
    <col min="80" max="80" width="15.33203125" style="63" customWidth="1"/>
    <col min="81" max="16384" width="9.109375" style="63"/>
  </cols>
  <sheetData>
    <row r="1" spans="1:79" x14ac:dyDescent="0.25">
      <c r="A1" s="63" t="s">
        <v>228</v>
      </c>
      <c r="B1" s="63">
        <v>171</v>
      </c>
      <c r="C1" s="63">
        <v>101</v>
      </c>
      <c r="D1" s="63">
        <v>21</v>
      </c>
      <c r="E1" s="63">
        <v>111</v>
      </c>
      <c r="F1" s="63">
        <v>131</v>
      </c>
      <c r="G1" s="63">
        <v>191</v>
      </c>
      <c r="H1" s="63">
        <v>190</v>
      </c>
      <c r="I1" s="63">
        <v>141</v>
      </c>
      <c r="J1" s="63">
        <v>91</v>
      </c>
      <c r="K1" s="63">
        <v>31</v>
      </c>
      <c r="L1" s="63">
        <v>32</v>
      </c>
      <c r="M1" s="63">
        <v>71</v>
      </c>
      <c r="N1" s="63">
        <v>183</v>
      </c>
      <c r="O1" s="63">
        <v>61</v>
      </c>
      <c r="P1" s="63">
        <v>11</v>
      </c>
      <c r="Q1" s="63">
        <v>182</v>
      </c>
      <c r="R1" s="63">
        <v>181</v>
      </c>
      <c r="S1" s="63">
        <v>161</v>
      </c>
      <c r="T1" s="63">
        <v>151</v>
      </c>
      <c r="U1" s="63">
        <v>81</v>
      </c>
      <c r="V1" s="63">
        <v>185</v>
      </c>
      <c r="W1" s="63">
        <v>205</v>
      </c>
      <c r="X1" s="63">
        <v>212</v>
      </c>
      <c r="Y1" s="63">
        <v>215</v>
      </c>
      <c r="Z1" s="63">
        <v>222</v>
      </c>
      <c r="AA1" s="63">
        <v>242</v>
      </c>
      <c r="AB1" s="63">
        <v>245</v>
      </c>
      <c r="AC1" s="63">
        <v>252</v>
      </c>
      <c r="AD1" s="63">
        <v>262</v>
      </c>
      <c r="AE1" s="63">
        <v>272</v>
      </c>
      <c r="AF1" s="63">
        <v>292</v>
      </c>
      <c r="AG1" s="63">
        <v>291</v>
      </c>
      <c r="AH1" s="63">
        <v>187</v>
      </c>
      <c r="AI1" s="63">
        <v>188</v>
      </c>
      <c r="AJ1" s="63">
        <v>295</v>
      </c>
      <c r="AK1" s="63">
        <v>294</v>
      </c>
      <c r="AL1" s="63">
        <v>296</v>
      </c>
      <c r="AM1" s="63">
        <v>293</v>
      </c>
      <c r="AN1" s="63">
        <v>560</v>
      </c>
      <c r="AO1" s="63">
        <v>561</v>
      </c>
      <c r="AP1" s="63">
        <v>311</v>
      </c>
      <c r="AQ1" s="63">
        <v>315</v>
      </c>
      <c r="AR1" s="63">
        <v>331</v>
      </c>
      <c r="AS1" s="63">
        <v>341</v>
      </c>
      <c r="AT1" s="63">
        <v>351</v>
      </c>
      <c r="AU1" s="63">
        <v>361</v>
      </c>
      <c r="AV1" s="66">
        <v>432433</v>
      </c>
      <c r="AW1" s="63">
        <v>442</v>
      </c>
      <c r="AX1" s="63">
        <v>443</v>
      </c>
      <c r="AY1" s="63">
        <v>445</v>
      </c>
      <c r="AZ1" s="63">
        <v>447</v>
      </c>
      <c r="BA1" s="63">
        <v>510</v>
      </c>
      <c r="BB1" s="63">
        <v>520</v>
      </c>
      <c r="BC1" s="63">
        <v>530</v>
      </c>
      <c r="BD1" s="63">
        <v>540</v>
      </c>
      <c r="BE1" s="63">
        <v>541</v>
      </c>
      <c r="BF1" s="63">
        <v>542</v>
      </c>
      <c r="BG1" s="63">
        <v>543</v>
      </c>
      <c r="BH1" s="63">
        <v>544</v>
      </c>
      <c r="BI1" s="63">
        <v>545</v>
      </c>
      <c r="BJ1" s="63">
        <v>546</v>
      </c>
      <c r="BK1" s="63">
        <v>547</v>
      </c>
      <c r="BL1" s="63">
        <v>548</v>
      </c>
      <c r="BM1" s="63">
        <v>549</v>
      </c>
      <c r="BN1" s="63">
        <v>550</v>
      </c>
      <c r="BO1" s="63">
        <v>551</v>
      </c>
      <c r="BP1" s="63">
        <v>195</v>
      </c>
      <c r="BQ1" s="63">
        <v>196</v>
      </c>
      <c r="BR1" s="63">
        <v>198</v>
      </c>
      <c r="BS1" s="63">
        <v>193</v>
      </c>
      <c r="BT1" s="63">
        <v>194</v>
      </c>
      <c r="BU1" s="63">
        <v>192</v>
      </c>
      <c r="BV1" s="63">
        <v>200</v>
      </c>
      <c r="BW1" s="63">
        <v>565</v>
      </c>
      <c r="BX1" s="63">
        <v>566</v>
      </c>
    </row>
    <row r="2" spans="1:79" x14ac:dyDescent="0.25">
      <c r="A2" s="73"/>
      <c r="B2" s="74" t="s">
        <v>114</v>
      </c>
      <c r="C2" s="75" t="s">
        <v>113</v>
      </c>
      <c r="D2" s="75" t="s">
        <v>112</v>
      </c>
      <c r="E2" s="75" t="s">
        <v>111</v>
      </c>
      <c r="F2" s="75" t="s">
        <v>110</v>
      </c>
      <c r="G2" s="75" t="s">
        <v>109</v>
      </c>
      <c r="H2" s="75" t="s">
        <v>164</v>
      </c>
      <c r="I2" s="75" t="s">
        <v>34</v>
      </c>
      <c r="J2" s="75" t="s">
        <v>35</v>
      </c>
      <c r="K2" s="75" t="s">
        <v>36</v>
      </c>
      <c r="L2" s="75" t="s">
        <v>191</v>
      </c>
      <c r="M2" s="75" t="s">
        <v>37</v>
      </c>
      <c r="N2" s="75" t="s">
        <v>38</v>
      </c>
      <c r="O2" s="75" t="s">
        <v>39</v>
      </c>
      <c r="P2" s="75" t="s">
        <v>40</v>
      </c>
      <c r="Q2" s="75" t="s">
        <v>41</v>
      </c>
      <c r="R2" s="75" t="s">
        <v>42</v>
      </c>
      <c r="S2" s="75" t="s">
        <v>43</v>
      </c>
      <c r="T2" s="75" t="s">
        <v>44</v>
      </c>
      <c r="U2" s="75" t="s">
        <v>45</v>
      </c>
      <c r="V2" s="75" t="s">
        <v>46</v>
      </c>
      <c r="W2" s="75" t="s">
        <v>47</v>
      </c>
      <c r="X2" s="75" t="s">
        <v>48</v>
      </c>
      <c r="Y2" s="75" t="s">
        <v>147</v>
      </c>
      <c r="Z2" s="75" t="s">
        <v>49</v>
      </c>
      <c r="AA2" s="75" t="s">
        <v>50</v>
      </c>
      <c r="AB2" s="75" t="s">
        <v>197</v>
      </c>
      <c r="AC2" s="75" t="s">
        <v>51</v>
      </c>
      <c r="AD2" s="75" t="s">
        <v>52</v>
      </c>
      <c r="AE2" s="75" t="s">
        <v>53</v>
      </c>
      <c r="AF2" s="75" t="s">
        <v>55</v>
      </c>
      <c r="AG2" s="75" t="s">
        <v>192</v>
      </c>
      <c r="AH2" s="75" t="s">
        <v>177</v>
      </c>
      <c r="AI2" s="75" t="s">
        <v>189</v>
      </c>
      <c r="AJ2" s="75" t="s">
        <v>178</v>
      </c>
      <c r="AK2" s="75" t="s">
        <v>179</v>
      </c>
      <c r="AL2" s="75" t="s">
        <v>184</v>
      </c>
      <c r="AM2" s="75" t="s">
        <v>180</v>
      </c>
      <c r="AN2" s="75" t="s">
        <v>181</v>
      </c>
      <c r="AO2" s="75" t="s">
        <v>182</v>
      </c>
      <c r="AP2" s="75" t="s">
        <v>56</v>
      </c>
      <c r="AQ2" s="75" t="s">
        <v>145</v>
      </c>
      <c r="AR2" s="75" t="s">
        <v>57</v>
      </c>
      <c r="AS2" s="75" t="s">
        <v>58</v>
      </c>
      <c r="AT2" s="75" t="s">
        <v>59</v>
      </c>
      <c r="AU2" s="75" t="s">
        <v>60</v>
      </c>
      <c r="AV2" s="75" t="s">
        <v>61</v>
      </c>
      <c r="AW2" s="75" t="s">
        <v>62</v>
      </c>
      <c r="AX2" s="75" t="s">
        <v>63</v>
      </c>
      <c r="AY2" s="75" t="s">
        <v>146</v>
      </c>
      <c r="AZ2" s="75" t="s">
        <v>176</v>
      </c>
      <c r="BA2" s="75" t="s">
        <v>64</v>
      </c>
      <c r="BB2" s="75" t="s">
        <v>65</v>
      </c>
      <c r="BC2" s="75" t="s">
        <v>66</v>
      </c>
      <c r="BD2" s="75" t="s">
        <v>67</v>
      </c>
      <c r="BE2" s="75" t="s">
        <v>165</v>
      </c>
      <c r="BF2" s="75" t="s">
        <v>166</v>
      </c>
      <c r="BG2" s="75" t="s">
        <v>167</v>
      </c>
      <c r="BH2" s="75" t="s">
        <v>168</v>
      </c>
      <c r="BI2" s="75" t="s">
        <v>169</v>
      </c>
      <c r="BJ2" s="75" t="s">
        <v>170</v>
      </c>
      <c r="BK2" s="75" t="s">
        <v>171</v>
      </c>
      <c r="BL2" s="75" t="s">
        <v>172</v>
      </c>
      <c r="BM2" s="75" t="s">
        <v>173</v>
      </c>
      <c r="BN2" s="75" t="s">
        <v>174</v>
      </c>
      <c r="BO2" s="75" t="s">
        <v>175</v>
      </c>
      <c r="BP2" s="75" t="s">
        <v>140</v>
      </c>
      <c r="BQ2" s="75" t="s">
        <v>139</v>
      </c>
      <c r="BR2" s="75" t="s">
        <v>141</v>
      </c>
      <c r="BS2" s="75" t="s">
        <v>142</v>
      </c>
      <c r="BT2" s="75" t="s">
        <v>143</v>
      </c>
      <c r="BU2" s="75" t="s">
        <v>144</v>
      </c>
      <c r="BV2" s="75" t="s">
        <v>196</v>
      </c>
      <c r="BW2" s="75" t="s">
        <v>149</v>
      </c>
      <c r="BX2" s="75" t="s">
        <v>193</v>
      </c>
      <c r="BY2" s="75" t="s">
        <v>148</v>
      </c>
      <c r="BZ2" s="75" t="s">
        <v>1</v>
      </c>
    </row>
    <row r="3" spans="1:79" s="62" customFormat="1" x14ac:dyDescent="0.25">
      <c r="A3" s="62" t="s">
        <v>2</v>
      </c>
      <c r="B3" s="61">
        <f>+GETPIVOTDATA("ADJBAL",AGTRAXDATA!$F$1,"BRANCH_NUMBER",171,"COMMODITY_CODE","01")/60</f>
        <v>492433.85</v>
      </c>
      <c r="C3" s="61">
        <f>+GETPIVOTDATA("ADJBAL",AGTRAXDATA!$F$1,"BRANCH_NUMBER",101,"COMMODITY_CODE","01")/60</f>
        <v>117140.33333333333</v>
      </c>
      <c r="D3" s="61">
        <f>+GETPIVOTDATA("ADJBAL",AGTRAXDATA!$F$1,"BRANCH_NUMBER",21,"COMMODITY_CODE","01")/60</f>
        <v>206366.28333333333</v>
      </c>
      <c r="E3" s="61">
        <f>+GETPIVOTDATA("ADJBAL",AGTRAXDATA!$F$1,"BRANCH_NUMBER",111,"COMMODITY_CODE","01")/60</f>
        <v>14133.8</v>
      </c>
      <c r="F3" s="61">
        <f>+GETPIVOTDATA("ADJBAL",AGTRAXDATA!$F$1,"BRANCH_NUMBER",131,"COMMODITY_CODE","01")/60</f>
        <v>207353.2</v>
      </c>
      <c r="G3" s="61">
        <f>+GETPIVOTDATA("ADJBAL",AGTRAXDATA!$F$1,"BRANCH_NUMBER",191,"COMMODITY_CODE","01")/60</f>
        <v>433954.13333333336</v>
      </c>
      <c r="H3" s="61">
        <f>+GETPIVOTDATA("ADJBAL",AGTRAXDATA!$F$1,"BRANCH_NUMBER",190,"COMMODITY_CODE","01")/60</f>
        <v>782976</v>
      </c>
      <c r="I3" s="61">
        <f>+GETPIVOTDATA("ADJBAL",AGTRAXDATA!$F$1,"BRANCH_NUMBER",141,"COMMODITY_CODE","01")/60</f>
        <v>125095.91666666667</v>
      </c>
      <c r="J3" s="61">
        <f>+GETPIVOTDATA("ADJBAL",AGTRAXDATA!$F$1,"BRANCH_NUMBER",91,"COMMODITY_CODE","01")/60</f>
        <v>380108.75</v>
      </c>
      <c r="K3" s="61">
        <f>+GETPIVOTDATA("ADJBAL",AGTRAXDATA!$F$1,"BRANCH_NUMBER",31,"COMMODITY_CODE","01")/60</f>
        <v>1540996.3666666667</v>
      </c>
      <c r="L3" s="61">
        <f>+GETPIVOTDATA("ADJBAL",AGTRAXDATA!$F$1,"BRANCH_NUMBER",32,"COMMODITY_CODE","01")/60</f>
        <v>0</v>
      </c>
      <c r="M3" s="61">
        <f>+GETPIVOTDATA("ADJBAL",AGTRAXDATA!$F$1,"BRANCH_NUMBER",71,"COMMODITY_CODE","01")/60</f>
        <v>270736.78333333333</v>
      </c>
      <c r="N3" s="61">
        <f>+GETPIVOTDATA("ADJBAL",AGTRAXDATA!$F$1,"BRANCH_NUMBER",183,"COMMODITY_CODE","01")/60</f>
        <v>54742.05</v>
      </c>
      <c r="O3" s="61">
        <f>+GETPIVOTDATA("ADJBAL",AGTRAXDATA!$F$1,"BRANCH_NUMBER",61,"COMMODITY_CODE","01")/60</f>
        <v>29206.316666666666</v>
      </c>
      <c r="P3" s="61">
        <f>+GETPIVOTDATA("ADJBAL",AGTRAXDATA!$F$1,"BRANCH_NUMBER",11,"COMMODITY_CODE","01")/60</f>
        <v>129784.43333333333</v>
      </c>
      <c r="Q3" s="61">
        <f>+GETPIVOTDATA("ADJBAL",AGTRAXDATA!$F$1,"BRANCH_NUMBER",182,"COMMODITY_CODE","01")/60</f>
        <v>331801.66666666669</v>
      </c>
      <c r="R3" s="61">
        <f>+GETPIVOTDATA("ADJBAL",AGTRAXDATA!$F$1,"BRANCH_NUMBER",181,"COMMODITY_CODE","01")/60</f>
        <v>200338.9</v>
      </c>
      <c r="S3" s="61">
        <f>+GETPIVOTDATA("ADJBAL",AGTRAXDATA!$F$1,"BRANCH_NUMBER",161,"COMMODITY_CODE","01")/60</f>
        <v>355983.26666666666</v>
      </c>
      <c r="T3" s="61">
        <f>+GETPIVOTDATA("ADJBAL",AGTRAXDATA!$F$1,"BRANCH_NUMBER",151,"COMMODITY_CODE","01")/60</f>
        <v>92074.28333333334</v>
      </c>
      <c r="U3" s="61">
        <f>+GETPIVOTDATA("ADJBAL",AGTRAXDATA!$F$1,"BRANCH_NUMBER",81,"COMMODITY_CODE","01")/60</f>
        <v>53354.416666666664</v>
      </c>
      <c r="V3" s="61">
        <f>+GETPIVOTDATA("ADJBAL",AGTRAXDATA!$F$1,"BRANCH_NUMBER",185,"COMMODITY_CODE","01")/60</f>
        <v>546279.6</v>
      </c>
      <c r="W3" s="61">
        <f>+GETPIVOTDATA("ADJBAL",AGTRAXDATA!$F$1,"BRANCH_NUMBER",205,"COMMODITY_CODE","01")/60</f>
        <v>1070869.3833333333</v>
      </c>
      <c r="X3" s="61">
        <f>+GETPIVOTDATA("ADJBAL",AGTRAXDATA!$F$1,"BRANCH_NUMBER",212,"COMMODITY_CODE","01")/60</f>
        <v>414278.33333333331</v>
      </c>
      <c r="Y3" s="61">
        <f>+GETPIVOTDATA("ADJBAL",AGTRAXDATA!$F$1,"BRANCH_NUMBER",215,"COMMODITY_CODE","01")/60</f>
        <v>986387.9</v>
      </c>
      <c r="Z3" s="61">
        <f>+GETPIVOTDATA("ADJBAL",AGTRAXDATA!$F$1,"BRANCH_NUMBER",222,"COMMODITY_CODE","01")/60</f>
        <v>208966.76666666666</v>
      </c>
      <c r="AA3" s="61">
        <f>+GETPIVOTDATA("ADJBAL",AGTRAXDATA!$F$1,"BRANCH_NUMBER",242,"COMMODITY_CODE","01")/60</f>
        <v>429389.81666666665</v>
      </c>
      <c r="AB3" s="61">
        <f>+GETPIVOTDATA("ADJBAL",AGTRAXDATA!$F$1,"BRANCH_NUMBER",245,"COMMODITY_CODE","01")/60</f>
        <v>0</v>
      </c>
      <c r="AC3" s="61">
        <f>+GETPIVOTDATA("ADJBAL",AGTRAXDATA!$F$1,"BRANCH_NUMBER",252,"COMMODITY_CODE","01")/60</f>
        <v>45447.033333333333</v>
      </c>
      <c r="AD3" s="61">
        <f>+GETPIVOTDATA("ADJBAL",AGTRAXDATA!$F$1,"BRANCH_NUMBER",262,"COMMODITY_CODE","01")/60</f>
        <v>206879.76666666666</v>
      </c>
      <c r="AE3" s="61">
        <f>+GETPIVOTDATA("ADJBAL",AGTRAXDATA!$F$1,"BRANCH_NUMBER",272,"COMMODITY_CODE","01")/60</f>
        <v>213312.83333333334</v>
      </c>
      <c r="AF3" s="61">
        <f>+GETPIVOTDATA("ADJBAL",AGTRAXDATA!$F$1,"BRANCH_NUMBER",292,"COMMODITY_CODE","01")/60</f>
        <v>0</v>
      </c>
      <c r="AG3" s="61">
        <f>+GETPIVOTDATA("ADJBAL",AGTRAXDATA!$F$1,"BRANCH_NUMBER",291,"COMMODITY_CODE","01")/60</f>
        <v>0</v>
      </c>
      <c r="AH3" s="61">
        <f>+GETPIVOTDATA("ADJBAL",AGTRAXDATA!$F$1,"BRANCH_NUMBER",187,"COMMODITY_CODE","01")/60</f>
        <v>2365.9499999999998</v>
      </c>
      <c r="AI3" s="61">
        <f>+GETPIVOTDATA("ADJBAL",AGTRAXDATA!$F$1,"BRANCH_NUMBER",188,"COMMODITY_CODE","01")/60</f>
        <v>0</v>
      </c>
      <c r="AJ3" s="61">
        <f>+GETPIVOTDATA("ADJBAL",AGTRAXDATA!$F$1,"BRANCH_NUMBER",295,"COMMODITY_CODE","01")/60</f>
        <v>66763.199999999997</v>
      </c>
      <c r="AK3" s="61">
        <f>+GETPIVOTDATA("ADJBAL",AGTRAXDATA!$F$1,"BRANCH_NUMBER",294,"COMMODITY_CODE","01")/60</f>
        <v>145638.15</v>
      </c>
      <c r="AL3" s="61">
        <f>+GETPIVOTDATA("ADJBAL",AGTRAXDATA!$F$1,"BRANCH_NUMBER",296,"COMMODITY_CODE","01")/60</f>
        <v>0</v>
      </c>
      <c r="AM3" s="61">
        <f>+GETPIVOTDATA("ADJBAL",AGTRAXDATA!$F$1,"BRANCH_NUMBER",293,"COMMODITY_CODE","01")/60</f>
        <v>134454.1</v>
      </c>
      <c r="AN3" s="61">
        <f>+GETPIVOTDATA("ADJBAL",AGTRAXDATA!$F$1,"BRANCH_NUMBER",560,"COMMODITY_CODE","01")/60</f>
        <v>664195.73333333328</v>
      </c>
      <c r="AO3" s="61">
        <f>+GETPIVOTDATA("ADJBAL",AGTRAXDATA!$F$1,"BRANCH_NUMBER",561,"COMMODITY_CODE","01")/60</f>
        <v>4183350.7166666668</v>
      </c>
      <c r="AP3" s="61">
        <f>+GETPIVOTDATA("ADJBAL",AGTRAXDATA!$F$1,"BRANCH_NUMBER",311,"COMMODITY_CODE","01")/60</f>
        <v>511475.5</v>
      </c>
      <c r="AQ3" s="61">
        <f>+GETPIVOTDATA("ADJBAL",AGTRAXDATA!$F$1,"BRANCH_NUMBER",315,"COMMODITY_CODE","01")/60</f>
        <v>0</v>
      </c>
      <c r="AR3" s="61">
        <f>+GETPIVOTDATA("ADJBAL",AGTRAXDATA!$F$1,"BRANCH_NUMBER",331,"COMMODITY_CODE","01")/60</f>
        <v>8129.1333333333332</v>
      </c>
      <c r="AS3" s="61">
        <f>+GETPIVOTDATA("ADJBAL",AGTRAXDATA!$F$1,"BRANCH_NUMBER",341,"COMMODITY_CODE","01")/60</f>
        <v>300953.34999999998</v>
      </c>
      <c r="AT3" s="61">
        <f>+GETPIVOTDATA("ADJBAL",AGTRAXDATA!$F$1,"BRANCH_NUMBER",351,"COMMODITY_CODE","01")/60</f>
        <v>235895.91666666666</v>
      </c>
      <c r="AU3" s="61">
        <f>+GETPIVOTDATA("ADJBAL",AGTRAXDATA!$F$1,"BRANCH_NUMBER",361,"COMMODITY_CODE","01")/60</f>
        <v>184802.01666666666</v>
      </c>
      <c r="AV3" s="61">
        <f>(+GETPIVOTDATA("ADJBAL",AGTRAXDATA!$F$1,"BRANCH_NUMBER",432,"COMMODITY_CODE","01")+GETPIVOTDATA("ADJBAL",AGTRAXDATA!$F$1,"BRANCH_NUMBER",433,"COMMODITY_CODE","01"))/60</f>
        <v>114595.31666666667</v>
      </c>
      <c r="AW3" s="61">
        <f>+GETPIVOTDATA("ADJBAL",AGTRAXDATA!$F$1,"BRANCH_NUMBER",442,"COMMODITY_CODE","01")/60</f>
        <v>1166.3666666666666</v>
      </c>
      <c r="AX3" s="61">
        <f>+GETPIVOTDATA("ADJBAL",AGTRAXDATA!$F$1,"BRANCH_NUMBER",443,"COMMODITY_CODE","01")/60</f>
        <v>422909.28333333333</v>
      </c>
      <c r="AY3" s="61">
        <f>+GETPIVOTDATA("ADJBAL",AGTRAXDATA!$F$1,"BRANCH_NUMBER",445,"COMMODITY_CODE","01")/60</f>
        <v>0</v>
      </c>
      <c r="AZ3" s="61">
        <f>+GETPIVOTDATA("ADJBAL",AGTRAXDATA!$F$1,"BRANCH_NUMBER",447,"COMMODITY_CODE","01")/60</f>
        <v>-1184.1166666666666</v>
      </c>
      <c r="BA3" s="61">
        <f>+GETPIVOTDATA("ADJBAL",AGTRAXDATA!$F$1,"BRANCH_NUMBER",510,"COMMODITY_CODE","01")/60</f>
        <v>285830.21666666667</v>
      </c>
      <c r="BB3" s="61">
        <f>+GETPIVOTDATA("ADJBAL",AGTRAXDATA!$F$1,"BRANCH_NUMBER",520,"COMMODITY_CODE","01")/60</f>
        <v>130528.2</v>
      </c>
      <c r="BC3" s="61">
        <f>+GETPIVOTDATA("ADJBAL",AGTRAXDATA!$F$1,"BRANCH_NUMBER",530,"COMMODITY_CODE","01")/60</f>
        <v>231193.86666666667</v>
      </c>
      <c r="BD3" s="61">
        <f>+GETPIVOTDATA("ADJBAL",AGTRAXDATA!$F$1,"BRANCH_NUMBER",540,"COMMODITY_CODE","01")/60</f>
        <v>0</v>
      </c>
      <c r="BE3" s="61">
        <f>+GETPIVOTDATA("ADJBAL",AGTRAXDATA!$F$1,"BRANCH_NUMBER",541,"COMMODITY_CODE","01")/60</f>
        <v>396527.6</v>
      </c>
      <c r="BF3" s="61">
        <f>+GETPIVOTDATA("ADJBAL",AGTRAXDATA!$F$1,"BRANCH_NUMBER",542,"COMMODITY_CODE","01")/60</f>
        <v>567105.93333333335</v>
      </c>
      <c r="BG3" s="61">
        <f>+GETPIVOTDATA("ADJBAL",AGTRAXDATA!$F$1,"BRANCH_NUMBER",543,"COMMODITY_CODE","01")/60</f>
        <v>476791.16666666669</v>
      </c>
      <c r="BH3" s="61">
        <f>+GETPIVOTDATA("ADJBAL",AGTRAXDATA!$F$1,"BRANCH_NUMBER",544,"COMMODITY_CODE","01")/60</f>
        <v>261806.81666666668</v>
      </c>
      <c r="BI3" s="61">
        <f>+GETPIVOTDATA("ADJBAL",AGTRAXDATA!$F$1,"BRANCH_NUMBER",545,"COMMODITY_CODE","01")/60</f>
        <v>88472.6</v>
      </c>
      <c r="BJ3" s="61">
        <f>+GETPIVOTDATA("ADJBAL",AGTRAXDATA!$F$1,"BRANCH_NUMBER",546,"COMMODITY_CODE","01")/60</f>
        <v>0</v>
      </c>
      <c r="BK3" s="61">
        <f>+GETPIVOTDATA("ADJBAL",AGTRAXDATA!$F$1,"BRANCH_NUMBER",547,"COMMODITY_CODE","01")/60</f>
        <v>556.33333333333337</v>
      </c>
      <c r="BL3" s="61">
        <f>+GETPIVOTDATA("ADJBAL",AGTRAXDATA!$F$1,"BRANCH_NUMBER",548,"COMMODITY_CODE","01")/60</f>
        <v>75529.28333333334</v>
      </c>
      <c r="BM3" s="61">
        <f>+GETPIVOTDATA("ADJBAL",AGTRAXDATA!$F$1,"BRANCH_NUMBER",549,"COMMODITY_CODE","01")/60</f>
        <v>0</v>
      </c>
      <c r="BN3" s="61">
        <f>+GETPIVOTDATA("ADJBAL",AGTRAXDATA!$F$1,"BRANCH_NUMBER",550,"COMMODITY_CODE","01")/60</f>
        <v>143081.75</v>
      </c>
      <c r="BO3" s="61">
        <f>+GETPIVOTDATA("ADJBAL",AGTRAXDATA!$F$1,"BRANCH_NUMBER",551,"COMMODITY_CODE","01")/60</f>
        <v>441421.81666666665</v>
      </c>
      <c r="BP3" s="61">
        <f>+GETPIVOTDATA("ADJBAL",AGTRAXDATA!$F$1,"BRANCH_NUMBER",195,"COMMODITY_CODE","01")/60</f>
        <v>137119.51666666666</v>
      </c>
      <c r="BQ3" s="61">
        <f>+GETPIVOTDATA("ADJBAL",AGTRAXDATA!$F$1,"BRANCH_NUMBER",196,"COMMODITY_CODE","01")/60</f>
        <v>53182.85</v>
      </c>
      <c r="BR3" s="61">
        <f>+GETPIVOTDATA("ADJBAL",AGTRAXDATA!$F$1,"BRANCH_NUMBER",198,"COMMODITY_CODE","01")/60</f>
        <v>127938.96666666666</v>
      </c>
      <c r="BS3" s="61">
        <f>+GETPIVOTDATA("ADJBAL",AGTRAXDATA!$F$1,"BRANCH_NUMBER",193,"COMMODITY_CODE","01")/60</f>
        <v>0</v>
      </c>
      <c r="BT3" s="61">
        <f>+GETPIVOTDATA("ADJBAL",AGTRAXDATA!$F$1,"BRANCH_NUMBER",194,"COMMODITY_CODE","01")/60</f>
        <v>372015.93333333335</v>
      </c>
      <c r="BU3" s="61">
        <f>+GETPIVOTDATA("ADJBAL",AGTRAXDATA!$F$1,"BRANCH_NUMBER",192,"COMMODITY_CODE","01")/60</f>
        <v>249316.63333333333</v>
      </c>
      <c r="BV3" s="61">
        <f>+GETPIVOTDATA("ADJBAL",AGTRAXDATA!$F$1,"BRANCH_NUMBER",200,"COMMODITY_CODE","01")/60</f>
        <v>674108.96666666667</v>
      </c>
      <c r="BW3" s="61">
        <f>+GETPIVOTDATA("ADJBAL",AGTRAXDATA!$F$1,"BRANCH_NUMBER",565,"COMMODITY_CODE","01")/60</f>
        <v>471879.66666666669</v>
      </c>
      <c r="BX3" s="61">
        <f>+GETPIVOTDATA("ADJBAL",AGTRAXDATA!$F$1,"BRANCH_NUMBER",566,"COMMODITY_CODE","01")/60</f>
        <v>4547782.666666667</v>
      </c>
      <c r="BY3" s="61"/>
      <c r="BZ3" s="61">
        <f t="shared" ref="BZ3:BZ8" si="0">SUM(B3:BY3)</f>
        <v>26648093.583333332</v>
      </c>
    </row>
    <row r="4" spans="1:79" s="62" customFormat="1" x14ac:dyDescent="0.25">
      <c r="A4" s="62" t="s">
        <v>3</v>
      </c>
      <c r="B4" s="61">
        <f>+GETPIVOTDATA("ADJBAL",AGTRAXDATA!$F$1,"BRANCH_NUMBER",171,"COMMODITY_CODE","02")/56</f>
        <v>0</v>
      </c>
      <c r="C4" s="61">
        <f>+GETPIVOTDATA("ADJBAL",AGTRAXDATA!$F$1,"BRANCH_NUMBER",101,"COMMODITY_CODE","02")/56</f>
        <v>0</v>
      </c>
      <c r="D4" s="61">
        <f>+GETPIVOTDATA("ADJBAL",AGTRAXDATA!$F$1,"BRANCH_NUMBER",21,"COMMODITY_CODE","02")/56</f>
        <v>27611.035714285714</v>
      </c>
      <c r="E4" s="61">
        <f>+GETPIVOTDATA("ADJBAL",AGTRAXDATA!$F$1,"BRANCH_NUMBER",111,"COMMODITY_CODE","02")/56</f>
        <v>73551.482142857145</v>
      </c>
      <c r="F4" s="61">
        <f>+GETPIVOTDATA("ADJBAL",AGTRAXDATA!$F$1,"BRANCH_NUMBER",131,"COMMODITY_CODE","02")/56</f>
        <v>0</v>
      </c>
      <c r="G4" s="61">
        <f>+GETPIVOTDATA("ADJBAL",AGTRAXDATA!$F$1,"BRANCH_NUMBER",191,"COMMODITY_CODE","02")/56</f>
        <v>0</v>
      </c>
      <c r="H4" s="61">
        <f>+GETPIVOTDATA("ADJBAL",AGTRAXDATA!$F$1,"BRANCH_NUMBER",190,"COMMODITY_CODE","02")/56</f>
        <v>0</v>
      </c>
      <c r="I4" s="61">
        <f>+GETPIVOTDATA("ADJBAL",AGTRAXDATA!$F$1,"BRANCH_NUMBER",141,"COMMODITY_CODE","02")/56</f>
        <v>0</v>
      </c>
      <c r="J4" s="61">
        <f>+GETPIVOTDATA("ADJBAL",AGTRAXDATA!$F$1,"BRANCH_NUMBER",91,"COMMODITY_CODE","02")/56</f>
        <v>-80.214285714285708</v>
      </c>
      <c r="K4" s="61">
        <f>+GETPIVOTDATA("ADJBAL",AGTRAXDATA!$F$1,"BRANCH_NUMBER",31,"COMMODITY_CODE","02")/56</f>
        <v>164065.875</v>
      </c>
      <c r="L4" s="61">
        <f>+GETPIVOTDATA("ADJBAL",AGTRAXDATA!$F$1,"BRANCH_NUMBER",32,"COMMODITY_CODE","02")/56</f>
        <v>0</v>
      </c>
      <c r="M4" s="61">
        <f>+GETPIVOTDATA("ADJBAL",AGTRAXDATA!$F$1,"BRANCH_NUMBER",71,"COMMODITY_CODE","02")/56</f>
        <v>22114.892857142859</v>
      </c>
      <c r="N4" s="61">
        <f>+GETPIVOTDATA("ADJBAL",AGTRAXDATA!$F$1,"BRANCH_NUMBER",183,"COMMODITY_CODE","02")/56</f>
        <v>9747.5178571428569</v>
      </c>
      <c r="O4" s="61">
        <f>+GETPIVOTDATA("ADJBAL",AGTRAXDATA!$F$1,"BRANCH_NUMBER",61,"COMMODITY_CODE","02")/56</f>
        <v>0</v>
      </c>
      <c r="P4" s="61">
        <f>+GETPIVOTDATA("ADJBAL",AGTRAXDATA!$F$1,"BRANCH_NUMBER",11,"COMMODITY_CODE","02")/56</f>
        <v>12635.857142857143</v>
      </c>
      <c r="Q4" s="61">
        <f>+GETPIVOTDATA("ADJBAL",AGTRAXDATA!$F$1,"BRANCH_NUMBER",182,"COMMODITY_CODE","02")/56</f>
        <v>0</v>
      </c>
      <c r="R4" s="61">
        <f>+GETPIVOTDATA("ADJBAL",AGTRAXDATA!$F$1,"BRANCH_NUMBER",181,"COMMODITY_CODE","02")/56</f>
        <v>0</v>
      </c>
      <c r="S4" s="61">
        <f>+GETPIVOTDATA("ADJBAL",AGTRAXDATA!$F$1,"BRANCH_NUMBER",161,"COMMODITY_CODE","02")/56</f>
        <v>0</v>
      </c>
      <c r="T4" s="61">
        <f>+GETPIVOTDATA("ADJBAL",AGTRAXDATA!$F$1,"BRANCH_NUMBER",151,"COMMODITY_CODE","02")/56</f>
        <v>0</v>
      </c>
      <c r="U4" s="61">
        <f>+GETPIVOTDATA("ADJBAL",AGTRAXDATA!$F$1,"BRANCH_NUMBER",81,"COMMODITY_CODE","02")/56</f>
        <v>0</v>
      </c>
      <c r="V4" s="61">
        <f>+GETPIVOTDATA("ADJBAL",AGTRAXDATA!$F$1,"BRANCH_NUMBER",185,"COMMODITY_CODE","02")/56</f>
        <v>0</v>
      </c>
      <c r="W4" s="61">
        <f>+GETPIVOTDATA("ADJBAL",AGTRAXDATA!$F$1,"BRANCH_NUMBER",205,"COMMODITY_CODE","02")/56</f>
        <v>0</v>
      </c>
      <c r="X4" s="61">
        <f>+GETPIVOTDATA("ADJBAL",AGTRAXDATA!$F$1,"BRANCH_NUMBER",212,"COMMODITY_CODE","02")/56</f>
        <v>0</v>
      </c>
      <c r="Y4" s="61">
        <f>+GETPIVOTDATA("ADJBAL",AGTRAXDATA!$F$1,"BRANCH_NUMBER",215,"COMMODITY_CODE","02")/56</f>
        <v>0</v>
      </c>
      <c r="Z4" s="61">
        <f>+GETPIVOTDATA("ADJBAL",AGTRAXDATA!$F$1,"BRANCH_NUMBER",222,"COMMODITY_CODE","02")/56</f>
        <v>989.48214285714289</v>
      </c>
      <c r="AA4" s="61">
        <f>+GETPIVOTDATA("ADJBAL",AGTRAXDATA!$F$1,"BRANCH_NUMBER",242,"COMMODITY_CODE","02")/56</f>
        <v>0</v>
      </c>
      <c r="AB4" s="61">
        <f>+GETPIVOTDATA("ADJBAL",AGTRAXDATA!$F$1,"BRANCH_NUMBER",245,"COMMODITY_CODE","02")/56</f>
        <v>0</v>
      </c>
      <c r="AC4" s="61">
        <f>+GETPIVOTDATA("ADJBAL",AGTRAXDATA!$F$1,"BRANCH_NUMBER",252,"COMMODITY_CODE","02")/56</f>
        <v>0</v>
      </c>
      <c r="AD4" s="61">
        <f>+GETPIVOTDATA("ADJBAL",AGTRAXDATA!$F$1,"BRANCH_NUMBER",262,"COMMODITY_CODE","02")/56</f>
        <v>0</v>
      </c>
      <c r="AE4" s="61">
        <f>+GETPIVOTDATA("ADJBAL",AGTRAXDATA!$F$1,"BRANCH_NUMBER",272,"COMMODITY_CODE","02")/56</f>
        <v>-113.08928571428571</v>
      </c>
      <c r="AF4" s="61">
        <f>+GETPIVOTDATA("ADJBAL",AGTRAXDATA!$F$1,"BRANCH_NUMBER",292,"COMMODITY_CODE","02")/56</f>
        <v>-162.60714285714286</v>
      </c>
      <c r="AG4" s="61">
        <f>+GETPIVOTDATA("ADJBAL",AGTRAXDATA!$F$1,"BRANCH_NUMBER",291,"COMMODITY_CODE","02")/56</f>
        <v>0</v>
      </c>
      <c r="AH4" s="61">
        <f>+GETPIVOTDATA("ADJBAL",AGTRAXDATA!$F$1,"BRANCH_NUMBER",187,"COMMODITY_CODE","02")/56</f>
        <v>230643.51785714287</v>
      </c>
      <c r="AI4" s="61">
        <f>+GETPIVOTDATA("ADJBAL",AGTRAXDATA!$F$1,"BRANCH_NUMBER",188,"COMMODITY_CODE","02")/56</f>
        <v>0</v>
      </c>
      <c r="AJ4" s="61">
        <f>+GETPIVOTDATA("ADJBAL",AGTRAXDATA!$F$1,"BRANCH_NUMBER",295,"COMMODITY_CODE","02")/56</f>
        <v>44784.375</v>
      </c>
      <c r="AK4" s="61">
        <f>+GETPIVOTDATA("ADJBAL",AGTRAXDATA!$F$1,"BRANCH_NUMBER",294,"COMMODITY_CODE","02")/56</f>
        <v>853.05357142857144</v>
      </c>
      <c r="AL4" s="61">
        <f>+GETPIVOTDATA("ADJBAL",AGTRAXDATA!$F$1,"BRANCH_NUMBER",296,"COMMODITY_CODE","02")/56</f>
        <v>0</v>
      </c>
      <c r="AM4" s="61">
        <f>+GETPIVOTDATA("ADJBAL",AGTRAXDATA!$F$1,"BRANCH_NUMBER",293,"COMMODITY_CODE","02")/56</f>
        <v>63350.125</v>
      </c>
      <c r="AN4" s="61">
        <f>+GETPIVOTDATA("ADJBAL",AGTRAXDATA!$F$1,"BRANCH_NUMBER",560,"COMMODITY_CODE","02")/56</f>
        <v>51072.839285714283</v>
      </c>
      <c r="AO4" s="61">
        <f>+GETPIVOTDATA("ADJBAL",AGTRAXDATA!$F$1,"BRANCH_NUMBER",561,"COMMODITY_CODE","02")/56</f>
        <v>0</v>
      </c>
      <c r="AP4" s="61">
        <f>+GETPIVOTDATA("ADJBAL",AGTRAXDATA!$F$1,"BRANCH_NUMBER",311,"COMMODITY_CODE","02")/56</f>
        <v>-1155.4107142857142</v>
      </c>
      <c r="AQ4" s="61">
        <f>+GETPIVOTDATA("ADJBAL",AGTRAXDATA!$F$1,"BRANCH_NUMBER",315,"COMMODITY_CODE","02")/56</f>
        <v>0</v>
      </c>
      <c r="AR4" s="61">
        <f>+GETPIVOTDATA("ADJBAL",AGTRAXDATA!$F$1,"BRANCH_NUMBER",331,"COMMODITY_CODE","02")/56</f>
        <v>0</v>
      </c>
      <c r="AS4" s="61">
        <f>+GETPIVOTDATA("ADJBAL",AGTRAXDATA!$F$1,"BRANCH_NUMBER",341,"COMMODITY_CODE","02")/56</f>
        <v>2521.7857142857142</v>
      </c>
      <c r="AT4" s="61">
        <f>+GETPIVOTDATA("ADJBAL",AGTRAXDATA!$F$1,"BRANCH_NUMBER",351,"COMMODITY_CODE","02")/56</f>
        <v>7406.0892857142853</v>
      </c>
      <c r="AU4" s="61">
        <f>+GETPIVOTDATA("ADJBAL",AGTRAXDATA!$F$1,"BRANCH_NUMBER",361,"COMMODITY_CODE","02")/56</f>
        <v>0</v>
      </c>
      <c r="AV4" s="61">
        <f>(+GETPIVOTDATA("ADJBAL",AGTRAXDATA!$F$1,"BRANCH_NUMBER",432,"COMMODITY_CODE","02")+GETPIVOTDATA("ADJBAL",AGTRAXDATA!$F$1,"BRANCH_NUMBER",433,"COMMODITY_CODE","02"))/56</f>
        <v>186861.96428571429</v>
      </c>
      <c r="AW4" s="61">
        <f>+GETPIVOTDATA("ADJBAL",AGTRAXDATA!$F$1,"BRANCH_NUMBER",442,"COMMODITY_CODE","02")/56</f>
        <v>111011.26785714286</v>
      </c>
      <c r="AX4" s="61">
        <f>+GETPIVOTDATA("ADJBAL",AGTRAXDATA!$F$1,"BRANCH_NUMBER",443,"COMMODITY_CODE","02")/56</f>
        <v>19511.732142857141</v>
      </c>
      <c r="AY4" s="61">
        <f>+GETPIVOTDATA("ADJBAL",AGTRAXDATA!$F$1,"BRANCH_NUMBER",445,"COMMODITY_CODE","02")/56</f>
        <v>0</v>
      </c>
      <c r="AZ4" s="61">
        <f>+GETPIVOTDATA("ADJBAL",AGTRAXDATA!$F$1,"BRANCH_NUMBER",447,"COMMODITY_CODE","02")/56</f>
        <v>0</v>
      </c>
      <c r="BA4" s="61">
        <f>+GETPIVOTDATA("ADJBAL",AGTRAXDATA!$F$1,"BRANCH_NUMBER",510,"COMMODITY_CODE","02")/56</f>
        <v>497541.69642857142</v>
      </c>
      <c r="BB4" s="61">
        <f>+GETPIVOTDATA("ADJBAL",AGTRAXDATA!$F$1,"BRANCH_NUMBER",520,"COMMODITY_CODE","02")/56</f>
        <v>11030.767857142857</v>
      </c>
      <c r="BC4" s="61">
        <f>+GETPIVOTDATA("ADJBAL",AGTRAXDATA!$F$1,"BRANCH_NUMBER",530,"COMMODITY_CODE","02")/56</f>
        <v>10027.910714285714</v>
      </c>
      <c r="BD4" s="61">
        <f>+GETPIVOTDATA("ADJBAL",AGTRAXDATA!$F$1,"BRANCH_NUMBER",540,"COMMODITY_CODE","02")/56</f>
        <v>36914.625</v>
      </c>
      <c r="BE4" s="61">
        <f>+GETPIVOTDATA("ADJBAL",AGTRAXDATA!$F$1,"BRANCH_NUMBER",541,"COMMODITY_CODE","02")/56</f>
        <v>46262.767857142855</v>
      </c>
      <c r="BF4" s="61">
        <f>+GETPIVOTDATA("ADJBAL",AGTRAXDATA!$F$1,"BRANCH_NUMBER",542,"COMMODITY_CODE","02")/56</f>
        <v>166634.42857142858</v>
      </c>
      <c r="BG4" s="61">
        <f>+GETPIVOTDATA("ADJBAL",AGTRAXDATA!$F$1,"BRANCH_NUMBER",543,"COMMODITY_CODE","02")/56</f>
        <v>249648.94642857142</v>
      </c>
      <c r="BH4" s="61">
        <f>+GETPIVOTDATA("ADJBAL",AGTRAXDATA!$F$1,"BRANCH_NUMBER",544,"COMMODITY_CODE","02")/56</f>
        <v>367589.83928571426</v>
      </c>
      <c r="BI4" s="61">
        <f>+GETPIVOTDATA("ADJBAL",AGTRAXDATA!$F$1,"BRANCH_NUMBER",545,"COMMODITY_CODE","02")/56</f>
        <v>251912.03571428571</v>
      </c>
      <c r="BJ4" s="61">
        <f>+GETPIVOTDATA("ADJBAL",AGTRAXDATA!$F$1,"BRANCH_NUMBER",546,"COMMODITY_CODE","02")/56</f>
        <v>261742.89285714287</v>
      </c>
      <c r="BK4" s="61">
        <f>+GETPIVOTDATA("ADJBAL",AGTRAXDATA!$F$1,"BRANCH_NUMBER",547,"COMMODITY_CODE","02")/56</f>
        <v>369005.28571428574</v>
      </c>
      <c r="BL4" s="61">
        <f>+GETPIVOTDATA("ADJBAL",AGTRAXDATA!$F$1,"BRANCH_NUMBER",548,"COMMODITY_CODE","02")/56</f>
        <v>142004.125</v>
      </c>
      <c r="BM4" s="61">
        <f>+GETPIVOTDATA("ADJBAL",AGTRAXDATA!$F$1,"BRANCH_NUMBER",549,"COMMODITY_CODE","02")/56</f>
        <v>141543.53571428571</v>
      </c>
      <c r="BN4" s="61">
        <f>+GETPIVOTDATA("ADJBAL",AGTRAXDATA!$F$1,"BRANCH_NUMBER",550,"COMMODITY_CODE","02")/56</f>
        <v>51948.357142857145</v>
      </c>
      <c r="BO4" s="61">
        <f>+GETPIVOTDATA("ADJBAL",AGTRAXDATA!$F$1,"BRANCH_NUMBER",551,"COMMODITY_CODE","02")/56</f>
        <v>143524.82142857142</v>
      </c>
      <c r="BP4" s="61">
        <f>+GETPIVOTDATA("ADJBAL",AGTRAXDATA!$F$1,"BRANCH_NUMBER",195,"COMMODITY_CODE","02")/56</f>
        <v>75078.517857142855</v>
      </c>
      <c r="BQ4" s="61">
        <f>+GETPIVOTDATA("ADJBAL",AGTRAXDATA!$F$1,"BRANCH_NUMBER",196,"COMMODITY_CODE","02")/56</f>
        <v>1370.3928571428571</v>
      </c>
      <c r="BR4" s="61">
        <f>+GETPIVOTDATA("ADJBAL",AGTRAXDATA!$F$1,"BRANCH_NUMBER",198,"COMMODITY_CODE","02")/56</f>
        <v>0</v>
      </c>
      <c r="BS4" s="61">
        <f>+GETPIVOTDATA("ADJBAL",AGTRAXDATA!$F$1,"BRANCH_NUMBER",193,"COMMODITY_CODE","02")/56</f>
        <v>31065.232142857141</v>
      </c>
      <c r="BT4" s="61">
        <f>+GETPIVOTDATA("ADJBAL",AGTRAXDATA!$F$1,"BRANCH_NUMBER",194,"COMMODITY_CODE","02")/56</f>
        <v>0</v>
      </c>
      <c r="BU4" s="61">
        <f>+GETPIVOTDATA("ADJBAL",AGTRAXDATA!$F$1,"BRANCH_NUMBER",192,"COMMODITY_CODE","02")/56</f>
        <v>38637.982142857145</v>
      </c>
      <c r="BV4" s="61"/>
      <c r="BW4" s="61">
        <f>+GETPIVOTDATA("ADJBAL",AGTRAXDATA!$F$1,"BRANCH_NUMBER",565,"COMMODITY_CODE","02")/56</f>
        <v>0</v>
      </c>
      <c r="BX4" s="61"/>
      <c r="BY4" s="61"/>
      <c r="BZ4" s="61">
        <f t="shared" si="0"/>
        <v>3920705.7321428577</v>
      </c>
    </row>
    <row r="5" spans="1:79" s="141" customFormat="1" x14ac:dyDescent="0.25">
      <c r="A5" s="62" t="s">
        <v>4</v>
      </c>
      <c r="B5" s="61">
        <f>+GETPIVOTDATA("ADJBAL",AGTRAXDATA!$F$1,"BRANCH_NUMBER",171,"COMMODITY_CODE","04")/56</f>
        <v>0</v>
      </c>
      <c r="C5" s="61">
        <f>+GETPIVOTDATA("ADJBAL",AGTRAXDATA!$F$1,"BRANCH_NUMBER",101,"COMMODITY_CODE","04")/56</f>
        <v>0</v>
      </c>
      <c r="D5" s="61">
        <f>+GETPIVOTDATA("ADJBAL",AGTRAXDATA!$F$1,"BRANCH_NUMBER",21,"COMMODITY_CODE","04")/56</f>
        <v>156541.17857142858</v>
      </c>
      <c r="E5" s="61">
        <f>+GETPIVOTDATA("ADJBAL",AGTRAXDATA!$F$1,"BRANCH_NUMBER",111,"COMMODITY_CODE","04")/56</f>
        <v>223171.39285714287</v>
      </c>
      <c r="F5" s="61">
        <f>+GETPIVOTDATA("ADJBAL",AGTRAXDATA!$F$1,"BRANCH_NUMBER",131,"COMMODITY_CODE","04")/56</f>
        <v>0</v>
      </c>
      <c r="G5" s="61">
        <f>+GETPIVOTDATA("ADJBAL",AGTRAXDATA!$F$1,"BRANCH_NUMBER",191,"COMMODITY_CODE","04")/56</f>
        <v>217285.21428571429</v>
      </c>
      <c r="H5" s="61">
        <f>+GETPIVOTDATA("ADJBAL",AGTRAXDATA!$F$1,"BRANCH_NUMBER",190,"COMMODITY_CODE","04")/56</f>
        <v>0</v>
      </c>
      <c r="I5" s="61">
        <f>+GETPIVOTDATA("ADJBAL",AGTRAXDATA!$F$1,"BRANCH_NUMBER",141,"COMMODITY_CODE","04")/56</f>
        <v>0</v>
      </c>
      <c r="J5" s="61">
        <f>+GETPIVOTDATA("ADJBAL",AGTRAXDATA!$F$1,"BRANCH_NUMBER",91,"COMMODITY_CODE","04")/56</f>
        <v>0</v>
      </c>
      <c r="K5" s="142">
        <f>+GETPIVOTDATA("ADJBAL",AGTRAXDATA!$F$1,"BRANCH_NUMBER",31,"COMMODITY_CODE","04")/56</f>
        <v>190726.60714285713</v>
      </c>
      <c r="L5" s="142">
        <f>+GETPIVOTDATA("ADJBAL",AGTRAXDATA!$F$1,"BRANCH_NUMBER",32,"COMMODITY_CODE","04")/56</f>
        <v>1035528.5714285715</v>
      </c>
      <c r="M5" s="142">
        <f>+GETPIVOTDATA("ADJBAL",AGTRAXDATA!$F$1,"BRANCH_NUMBER",71,"COMMODITY_CODE","04")/56</f>
        <v>467319.07142857142</v>
      </c>
      <c r="N5" s="61">
        <f>+GETPIVOTDATA("ADJBAL",AGTRAXDATA!$F$1,"BRANCH_NUMBER",183,"COMMODITY_CODE","04")/56</f>
        <v>71262.303571428565</v>
      </c>
      <c r="O5" s="142">
        <f>+GETPIVOTDATA("ADJBAL",AGTRAXDATA!$F$1,"BRANCH_NUMBER",61,"COMMODITY_CODE","04")/56</f>
        <v>26262.107142857141</v>
      </c>
      <c r="P5" s="61">
        <f>+GETPIVOTDATA("ADJBAL",AGTRAXDATA!$F$1,"BRANCH_NUMBER",11,"COMMODITY_CODE","04")/56</f>
        <v>268931.07142857142</v>
      </c>
      <c r="Q5" s="61">
        <f>+GETPIVOTDATA("ADJBAL",AGTRAXDATA!$F$1,"BRANCH_NUMBER",182,"COMMODITY_CODE","04")/56</f>
        <v>0</v>
      </c>
      <c r="R5" s="61">
        <f>+GETPIVOTDATA("ADJBAL",AGTRAXDATA!$F$1,"BRANCH_NUMBER",181,"COMMODITY_CODE","04")/56</f>
        <v>0</v>
      </c>
      <c r="S5" s="61">
        <f>+GETPIVOTDATA("ADJBAL",AGTRAXDATA!$F$1,"BRANCH_NUMBER",161,"COMMODITY_CODE","04")/56</f>
        <v>0</v>
      </c>
      <c r="T5" s="61">
        <f>+GETPIVOTDATA("ADJBAL",AGTRAXDATA!$F$1,"BRANCH_NUMBER",151,"COMMODITY_CODE","04")/56</f>
        <v>0</v>
      </c>
      <c r="U5" s="61">
        <f>+GETPIVOTDATA("ADJBAL",AGTRAXDATA!$F$1,"BRANCH_NUMBER",81,"COMMODITY_CODE","04")/56</f>
        <v>0</v>
      </c>
      <c r="V5" s="61">
        <f>+GETPIVOTDATA("ADJBAL",AGTRAXDATA!$F$1,"BRANCH_NUMBER",185,"COMMODITY_CODE","04")/56</f>
        <v>0</v>
      </c>
      <c r="W5" s="142">
        <f>+GETPIVOTDATA("ADJBAL",AGTRAXDATA!$F$1,"BRANCH_NUMBER",205,"COMMODITY_CODE","04")/56</f>
        <v>6214.5892857142853</v>
      </c>
      <c r="X5" s="142">
        <f>+GETPIVOTDATA("ADJBAL",AGTRAXDATA!$F$1,"BRANCH_NUMBER",212,"COMMODITY_CODE","04")/56</f>
        <v>118953.48214285714</v>
      </c>
      <c r="Y5" s="61">
        <f>+GETPIVOTDATA("ADJBAL",AGTRAXDATA!$F$1,"BRANCH_NUMBER",215,"COMMODITY_CODE","04")/56</f>
        <v>809115.66071428568</v>
      </c>
      <c r="Z5" s="61">
        <f>+GETPIVOTDATA("ADJBAL",AGTRAXDATA!$F$1,"BRANCH_NUMBER",222,"COMMODITY_CODE","04")/56</f>
        <v>15359.25</v>
      </c>
      <c r="AA5" s="61">
        <f>+GETPIVOTDATA("ADJBAL",AGTRAXDATA!$F$1,"BRANCH_NUMBER",242,"COMMODITY_CODE","04")/56</f>
        <v>238536.23214285713</v>
      </c>
      <c r="AB5" s="61">
        <f>+GETPIVOTDATA("ADJBAL",AGTRAXDATA!$F$1,"BRANCH_NUMBER",245,"COMMODITY_CODE","04")/56</f>
        <v>242364.60714285713</v>
      </c>
      <c r="AC5" s="61">
        <f>+GETPIVOTDATA("ADJBAL",AGTRAXDATA!$F$1,"BRANCH_NUMBER",252,"COMMODITY_CODE","04")/56</f>
        <v>244.10714285714286</v>
      </c>
      <c r="AD5" s="61">
        <f>+GETPIVOTDATA("ADJBAL",AGTRAXDATA!$F$1,"BRANCH_NUMBER",262,"COMMODITY_CODE","04")/56</f>
        <v>0</v>
      </c>
      <c r="AE5" s="61">
        <f>+GETPIVOTDATA("ADJBAL",AGTRAXDATA!$F$1,"BRANCH_NUMBER",272,"COMMODITY_CODE","04")/56</f>
        <v>316694.64285714284</v>
      </c>
      <c r="AF5" s="61">
        <f>+GETPIVOTDATA("ADJBAL",AGTRAXDATA!$F$1,"BRANCH_NUMBER",292,"COMMODITY_CODE","04")/56</f>
        <v>160535.33928571429</v>
      </c>
      <c r="AG5" s="61">
        <f>+GETPIVOTDATA("ADJBAL",AGTRAXDATA!$F$1,"BRANCH_NUMBER",291,"COMMODITY_CODE","04")/56</f>
        <v>320573.60714285716</v>
      </c>
      <c r="AH5" s="61">
        <f>+GETPIVOTDATA("ADJBAL",AGTRAXDATA!$F$1,"BRANCH_NUMBER",187,"COMMODITY_CODE","04")/56</f>
        <v>312316.39285714284</v>
      </c>
      <c r="AI5" s="61">
        <f>+GETPIVOTDATA("ADJBAL",AGTRAXDATA!$F$1,"BRANCH_NUMBER",188,"COMMODITY_CODE","04")/56</f>
        <v>909618.03571428568</v>
      </c>
      <c r="AJ5" s="61">
        <f>+GETPIVOTDATA("ADJBAL",AGTRAXDATA!$F$1,"BRANCH_NUMBER",295,"COMMODITY_CODE","04")/56</f>
        <v>694456.14285714284</v>
      </c>
      <c r="AK5" s="61">
        <f>+GETPIVOTDATA("ADJBAL",AGTRAXDATA!$F$1,"BRANCH_NUMBER",294,"COMMODITY_CODE","04")/56</f>
        <v>77617.53571428571</v>
      </c>
      <c r="AL5" s="61">
        <f>+GETPIVOTDATA("ADJBAL",AGTRAXDATA!$F$1,"BRANCH_NUMBER",296,"COMMODITY_CODE","04")/56</f>
        <v>418341.83928571426</v>
      </c>
      <c r="AM5" s="61">
        <f>+GETPIVOTDATA("ADJBAL",AGTRAXDATA!$F$1,"BRANCH_NUMBER",293,"COMMODITY_CODE","04")/56</f>
        <v>441610.33928571426</v>
      </c>
      <c r="AN5" s="61">
        <f>+GETPIVOTDATA("ADJBAL",AGTRAXDATA!$F$1,"BRANCH_NUMBER",560,"COMMODITY_CODE","04")/56</f>
        <v>324338.125</v>
      </c>
      <c r="AO5" s="61">
        <f>+GETPIVOTDATA("ADJBAL",AGTRAXDATA!$F$1,"BRANCH_NUMBER",561,"COMMODITY_CODE","04")/56</f>
        <v>0</v>
      </c>
      <c r="AP5" s="61">
        <f>+GETPIVOTDATA("ADJBAL",AGTRAXDATA!$F$1,"BRANCH_NUMBER",311,"COMMODITY_CODE","04")/56</f>
        <v>38107.232142857145</v>
      </c>
      <c r="AQ5" s="61">
        <f>+GETPIVOTDATA("ADJBAL",AGTRAXDATA!$F$1,"BRANCH_NUMBER",315,"COMMODITY_CODE","04")/56</f>
        <v>400303.375</v>
      </c>
      <c r="AR5" s="61">
        <f>+GETPIVOTDATA("ADJBAL",AGTRAXDATA!$F$1,"BRANCH_NUMBER",331,"COMMODITY_CODE","04")/56</f>
        <v>0</v>
      </c>
      <c r="AS5" s="61">
        <f>+GETPIVOTDATA("ADJBAL",AGTRAXDATA!$F$1,"BRANCH_NUMBER",341,"COMMODITY_CODE","04")/56</f>
        <v>256275.35714285713</v>
      </c>
      <c r="AT5" s="61">
        <f>+GETPIVOTDATA("ADJBAL",AGTRAXDATA!$F$1,"BRANCH_NUMBER",351,"COMMODITY_CODE","04")/56</f>
        <v>2813.0714285714284</v>
      </c>
      <c r="AU5" s="61">
        <f>+GETPIVOTDATA("ADJBAL",AGTRAXDATA!$F$1,"BRANCH_NUMBER",361,"COMMODITY_CODE","04")/56</f>
        <v>0</v>
      </c>
      <c r="AV5" s="61">
        <f>(+GETPIVOTDATA("ADJBAL",AGTRAXDATA!$F$1,"BRANCH_NUMBER",432,"COMMODITY_CODE","04")+GETPIVOTDATA("ADJBAL",AGTRAXDATA!$F$1,"BRANCH_NUMBER",433,"COMMODITY_CODE","04"))/56</f>
        <v>972277.16071428568</v>
      </c>
      <c r="AW5" s="61">
        <f>+GETPIVOTDATA("ADJBAL",AGTRAXDATA!$F$1,"BRANCH_NUMBER",442,"COMMODITY_CODE","04")/56</f>
        <v>151842.125</v>
      </c>
      <c r="AX5" s="61">
        <f>+GETPIVOTDATA("ADJBAL",AGTRAXDATA!$F$1,"BRANCH_NUMBER",443,"COMMODITY_CODE","04")/56</f>
        <v>20866.035714285714</v>
      </c>
      <c r="AY5" s="61">
        <f>+GETPIVOTDATA("ADJBAL",AGTRAXDATA!$F$1,"BRANCH_NUMBER",445,"COMMODITY_CODE","04")/56</f>
        <v>494967.23214285716</v>
      </c>
      <c r="AZ5" s="61">
        <f>+GETPIVOTDATA("ADJBAL",AGTRAXDATA!$F$1,"BRANCH_NUMBER",447,"COMMODITY_CODE","04")/56</f>
        <v>57961.178571428572</v>
      </c>
      <c r="BA5" s="61">
        <f>+GETPIVOTDATA("ADJBAL",AGTRAXDATA!$F$1,"BRANCH_NUMBER",510,"COMMODITY_CODE","04")/56</f>
        <v>0</v>
      </c>
      <c r="BB5" s="61">
        <f>+GETPIVOTDATA("ADJBAL",AGTRAXDATA!$F$1,"BRANCH_NUMBER",520,"COMMODITY_CODE","04")/56</f>
        <v>10534.053571428571</v>
      </c>
      <c r="BC5" s="61">
        <f>+GETPIVOTDATA("ADJBAL",AGTRAXDATA!$F$1,"BRANCH_NUMBER",530,"COMMODITY_CODE","04")/56</f>
        <v>0</v>
      </c>
      <c r="BD5" s="61">
        <f>+GETPIVOTDATA("ADJBAL",AGTRAXDATA!$F$1,"BRANCH_NUMBER",540,"COMMODITY_CODE","04")/56</f>
        <v>103418.32142857143</v>
      </c>
      <c r="BE5" s="61">
        <f>+GETPIVOTDATA("ADJBAL",AGTRAXDATA!$F$1,"BRANCH_NUMBER",541,"COMMODITY_CODE","04")/56</f>
        <v>203497.92857142858</v>
      </c>
      <c r="BF5" s="61">
        <f>+GETPIVOTDATA("ADJBAL",AGTRAXDATA!$F$1,"BRANCH_NUMBER",542,"COMMODITY_CODE","04")/56</f>
        <v>0</v>
      </c>
      <c r="BG5" s="61">
        <f>+GETPIVOTDATA("ADJBAL",AGTRAXDATA!$F$1,"BRANCH_NUMBER",543,"COMMODITY_CODE","04")/56</f>
        <v>39315.625</v>
      </c>
      <c r="BH5" s="61">
        <f>+GETPIVOTDATA("ADJBAL",AGTRAXDATA!$F$1,"BRANCH_NUMBER",544,"COMMODITY_CODE","04")/56</f>
        <v>1480.9821428571429</v>
      </c>
      <c r="BI5" s="61">
        <f>+GETPIVOTDATA("ADJBAL",AGTRAXDATA!$F$1,"BRANCH_NUMBER",545,"COMMODITY_CODE","04")/56</f>
        <v>0</v>
      </c>
      <c r="BJ5" s="61">
        <f>+GETPIVOTDATA("ADJBAL",AGTRAXDATA!$F$1,"BRANCH_NUMBER",546,"COMMODITY_CODE","04")/56</f>
        <v>0</v>
      </c>
      <c r="BK5" s="61">
        <f>+GETPIVOTDATA("ADJBAL",AGTRAXDATA!$F$1,"BRANCH_NUMBER",547,"COMMODITY_CODE","04")/56</f>
        <v>4114.4464285714284</v>
      </c>
      <c r="BL5" s="61">
        <f>+GETPIVOTDATA("ADJBAL",AGTRAXDATA!$F$1,"BRANCH_NUMBER",548,"COMMODITY_CODE","04")/56</f>
        <v>2491.7857142857142</v>
      </c>
      <c r="BM5" s="61">
        <f>+GETPIVOTDATA("ADJBAL",AGTRAXDATA!$F$1,"BRANCH_NUMBER",549,"COMMODITY_CODE","04")/56</f>
        <v>0</v>
      </c>
      <c r="BN5" s="61">
        <f>+GETPIVOTDATA("ADJBAL",AGTRAXDATA!$F$1,"BRANCH_NUMBER",550,"COMMODITY_CODE","04")/56</f>
        <v>26971.589285714286</v>
      </c>
      <c r="BO5" s="61">
        <f>+GETPIVOTDATA("ADJBAL",AGTRAXDATA!$F$1,"BRANCH_NUMBER",551,"COMMODITY_CODE","04")/56</f>
        <v>339047.5</v>
      </c>
      <c r="BP5" s="61">
        <f>+GETPIVOTDATA("ADJBAL",AGTRAXDATA!$F$1,"BRANCH_NUMBER",195,"COMMODITY_CODE","04")/56</f>
        <v>18389.553571428572</v>
      </c>
      <c r="BQ5" s="61">
        <f>+GETPIVOTDATA("ADJBAL",AGTRAXDATA!$F$1,"BRANCH_NUMBER",196,"COMMODITY_CODE","04")/56</f>
        <v>0</v>
      </c>
      <c r="BR5" s="61">
        <f>+GETPIVOTDATA("ADJBAL",AGTRAXDATA!$F$1,"BRANCH_NUMBER",198,"COMMODITY_CODE","04")/56</f>
        <v>0</v>
      </c>
      <c r="BS5" s="61">
        <f>+GETPIVOTDATA("ADJBAL",AGTRAXDATA!$F$1,"BRANCH_NUMBER",193,"COMMODITY_CODE","04")/56</f>
        <v>14665.339285714286</v>
      </c>
      <c r="BT5" s="142">
        <f>+GETPIVOTDATA("ADJBAL",AGTRAXDATA!$F$1,"BRANCH_NUMBER",194,"COMMODITY_CODE","04")/56</f>
        <v>0</v>
      </c>
      <c r="BU5" s="61">
        <f>+GETPIVOTDATA("ADJBAL",AGTRAXDATA!$F$1,"BRANCH_NUMBER",192,"COMMODITY_CODE","04")/56</f>
        <v>30521.571428571428</v>
      </c>
      <c r="BV5" s="61"/>
      <c r="BW5" s="61">
        <f>+GETPIVOTDATA("ADJBAL",AGTRAXDATA!$F$1,"BRANCH_NUMBER",565,"COMMODITY_CODE","04")/56</f>
        <v>0</v>
      </c>
      <c r="BX5" s="61"/>
      <c r="BY5" s="61"/>
      <c r="BZ5" s="61">
        <f t="shared" si="0"/>
        <v>11253778.910714284</v>
      </c>
    </row>
    <row r="6" spans="1:79" s="62" customFormat="1" x14ac:dyDescent="0.25">
      <c r="A6" s="62" t="s">
        <v>5</v>
      </c>
      <c r="B6" s="61">
        <f>+GETPIVOTDATA("ADJBAL",AGTRAXDATA!$F$1,"BRANCH_NUMBER",171,"COMMODITY_CODE","03")/60</f>
        <v>0</v>
      </c>
      <c r="C6" s="61">
        <f>+GETPIVOTDATA("ADJBAL",AGTRAXDATA!$F$1,"BRANCH_NUMBER",101,"COMMODITY_CODE","03")/60</f>
        <v>0</v>
      </c>
      <c r="D6" s="61">
        <f>+GETPIVOTDATA("ADJBAL",AGTRAXDATA!$F$1,"BRANCH_NUMBER",21,"COMMODITY_CODE","03")/60</f>
        <v>105243.66666666667</v>
      </c>
      <c r="E6" s="61">
        <f>+GETPIVOTDATA("ADJBAL",AGTRAXDATA!$F$1,"BRANCH_NUMBER",111,"COMMODITY_CODE","03")/60</f>
        <v>24438.416666666668</v>
      </c>
      <c r="F6" s="61">
        <f>+GETPIVOTDATA("ADJBAL",AGTRAXDATA!$F$1,"BRANCH_NUMBER",131,"COMMODITY_CODE","03")/60</f>
        <v>0</v>
      </c>
      <c r="G6" s="61">
        <f>+GETPIVOTDATA("ADJBAL",AGTRAXDATA!$F$1,"BRANCH_NUMBER",191,"COMMODITY_CODE","03")/60</f>
        <v>231821.46666666667</v>
      </c>
      <c r="H6" s="61">
        <f>+GETPIVOTDATA("ADJBAL",AGTRAXDATA!$F$1,"BRANCH_NUMBER",190,"COMMODITY_CODE","03")/60</f>
        <v>0</v>
      </c>
      <c r="I6" s="61">
        <f>+GETPIVOTDATA("ADJBAL",AGTRAXDATA!$F$1,"BRANCH_NUMBER",141,"COMMODITY_CODE","03")/60</f>
        <v>0</v>
      </c>
      <c r="J6" s="61">
        <f>+GETPIVOTDATA("ADJBAL",AGTRAXDATA!$F$1,"BRANCH_NUMBER",91,"COMMODITY_CODE","03")/60</f>
        <v>130016.98333333334</v>
      </c>
      <c r="K6" s="61">
        <f>+GETPIVOTDATA("ADJBAL",AGTRAXDATA!$F$1,"BRANCH_NUMBER",31,"COMMODITY_CODE","03")/60</f>
        <v>800845.31666666665</v>
      </c>
      <c r="L6" s="61">
        <f>+GETPIVOTDATA("ADJBAL",AGTRAXDATA!$F$1,"BRANCH_NUMBER",32,"COMMODITY_CODE","03")/60</f>
        <v>0</v>
      </c>
      <c r="M6" s="61">
        <f>+GETPIVOTDATA("ADJBAL",AGTRAXDATA!$F$1,"BRANCH_NUMBER",71,"COMMODITY_CODE","03")/60</f>
        <v>128754.91666666667</v>
      </c>
      <c r="N6" s="61">
        <f>+GETPIVOTDATA("ADJBAL",AGTRAXDATA!$F$1,"BRANCH_NUMBER",183,"COMMODITY_CODE","03")/60</f>
        <v>0</v>
      </c>
      <c r="O6" s="61">
        <f>+GETPIVOTDATA("ADJBAL",AGTRAXDATA!$F$1,"BRANCH_NUMBER",61,"COMMODITY_CODE","03")/60</f>
        <v>430342.35</v>
      </c>
      <c r="P6" s="61">
        <f>+GETPIVOTDATA("ADJBAL",AGTRAXDATA!$F$1,"BRANCH_NUMBER",11,"COMMODITY_CODE","03")/60</f>
        <v>260037.56666666668</v>
      </c>
      <c r="Q6" s="61">
        <f>+GETPIVOTDATA("ADJBAL",AGTRAXDATA!$F$1,"BRANCH_NUMBER",182,"COMMODITY_CODE","03")/60</f>
        <v>0</v>
      </c>
      <c r="R6" s="61">
        <f>+GETPIVOTDATA("ADJBAL",AGTRAXDATA!$F$1,"BRANCH_NUMBER",181,"COMMODITY_CODE","03")/60</f>
        <v>0</v>
      </c>
      <c r="S6" s="61">
        <f>+GETPIVOTDATA("ADJBAL",AGTRAXDATA!$F$1,"BRANCH_NUMBER",161,"COMMODITY_CODE","03")/60</f>
        <v>0</v>
      </c>
      <c r="T6" s="61">
        <f>+GETPIVOTDATA("ADJBAL",AGTRAXDATA!$F$1,"BRANCH_NUMBER",151,"COMMODITY_CODE","03")/60</f>
        <v>0</v>
      </c>
      <c r="U6" s="61">
        <f>+GETPIVOTDATA("ADJBAL",AGTRAXDATA!$F$1,"BRANCH_NUMBER",81,"COMMODITY_CODE","03")/60</f>
        <v>0</v>
      </c>
      <c r="V6" s="61">
        <f>+GETPIVOTDATA("ADJBAL",AGTRAXDATA!$F$1,"BRANCH_NUMBER",185,"COMMODITY_CODE","03")/60</f>
        <v>0</v>
      </c>
      <c r="W6" s="61">
        <f>+GETPIVOTDATA("ADJBAL",AGTRAXDATA!$F$1,"BRANCH_NUMBER",205,"COMMODITY_CODE","03")/60</f>
        <v>564352.9</v>
      </c>
      <c r="X6" s="61">
        <f>+GETPIVOTDATA("ADJBAL",AGTRAXDATA!$F$1,"BRANCH_NUMBER",212,"COMMODITY_CODE","03")/60</f>
        <v>200054.3</v>
      </c>
      <c r="Y6" s="61">
        <f>+GETPIVOTDATA("ADJBAL",AGTRAXDATA!$F$1,"BRANCH_NUMBER",215,"COMMODITY_CODE","03")/60</f>
        <v>0</v>
      </c>
      <c r="Z6" s="61">
        <f>+GETPIVOTDATA("ADJBAL",AGTRAXDATA!$F$1,"BRANCH_NUMBER",222,"COMMODITY_CODE","03")/60</f>
        <v>262490.55</v>
      </c>
      <c r="AA6" s="61">
        <f>+GETPIVOTDATA("ADJBAL",AGTRAXDATA!$F$1,"BRANCH_NUMBER",242,"COMMODITY_CODE","03")/60</f>
        <v>300088.68333333335</v>
      </c>
      <c r="AB6" s="61">
        <f>+GETPIVOTDATA("ADJBAL",AGTRAXDATA!$F$1,"BRANCH_NUMBER",245,"COMMODITY_CODE","03")/60</f>
        <v>0</v>
      </c>
      <c r="AC6" s="61">
        <f>+GETPIVOTDATA("ADJBAL",AGTRAXDATA!$F$1,"BRANCH_NUMBER",252,"COMMODITY_CODE","03")/60</f>
        <v>118120.51666666666</v>
      </c>
      <c r="AD6" s="61">
        <f>+GETPIVOTDATA("ADJBAL",AGTRAXDATA!$F$1,"BRANCH_NUMBER",262,"COMMODITY_CODE","03")/60</f>
        <v>130542.51666666666</v>
      </c>
      <c r="AE6" s="61">
        <f>+GETPIVOTDATA("ADJBAL",AGTRAXDATA!$F$1,"BRANCH_NUMBER",272,"COMMODITY_CODE","03")/60</f>
        <v>332531.83333333331</v>
      </c>
      <c r="AF6" s="61">
        <f>+GETPIVOTDATA("ADJBAL",AGTRAXDATA!$F$1,"BRANCH_NUMBER",292,"COMMODITY_CODE","03")/60</f>
        <v>516871.7</v>
      </c>
      <c r="AG6" s="61">
        <f>+GETPIVOTDATA("ADJBAL",AGTRAXDATA!$F$1,"BRANCH_NUMBER",291,"COMMODITY_CODE","03")/60</f>
        <v>0</v>
      </c>
      <c r="AH6" s="61">
        <f>+GETPIVOTDATA("ADJBAL",AGTRAXDATA!$F$1,"BRANCH_NUMBER",187,"COMMODITY_CODE","03")/60</f>
        <v>190089.18333333332</v>
      </c>
      <c r="AI6" s="61">
        <f>+GETPIVOTDATA("ADJBAL",AGTRAXDATA!$F$1,"BRANCH_NUMBER",188,"COMMODITY_CODE","03")/60</f>
        <v>0</v>
      </c>
      <c r="AJ6" s="61">
        <f>+GETPIVOTDATA("ADJBAL",AGTRAXDATA!$F$1,"BRANCH_NUMBER",295,"COMMODITY_CODE","03")/60</f>
        <v>411688.05</v>
      </c>
      <c r="AK6" s="61">
        <f>+GETPIVOTDATA("ADJBAL",AGTRAXDATA!$F$1,"BRANCH_NUMBER",294,"COMMODITY_CODE","03")/60</f>
        <v>318681.56666666665</v>
      </c>
      <c r="AL6" s="61">
        <f>+GETPIVOTDATA("ADJBAL",AGTRAXDATA!$F$1,"BRANCH_NUMBER",296,"COMMODITY_CODE","03")/60</f>
        <v>0</v>
      </c>
      <c r="AM6" s="61">
        <f>+GETPIVOTDATA("ADJBAL",AGTRAXDATA!$F$1,"BRANCH_NUMBER",293,"COMMODITY_CODE","03")/60</f>
        <v>319986.48333333334</v>
      </c>
      <c r="AN6" s="61">
        <f>+GETPIVOTDATA("ADJBAL",AGTRAXDATA!$F$1,"BRANCH_NUMBER",560,"COMMODITY_CODE","03")/60</f>
        <v>1258887.3500000001</v>
      </c>
      <c r="AO6" s="61">
        <f>+GETPIVOTDATA("ADJBAL",AGTRAXDATA!$F$1,"BRANCH_NUMBER",561,"COMMODITY_CODE","03")/60</f>
        <v>0</v>
      </c>
      <c r="AP6" s="61">
        <f>+GETPIVOTDATA("ADJBAL",AGTRAXDATA!$F$1,"BRANCH_NUMBER",311,"COMMODITY_CODE","03")/60</f>
        <v>239769.46666666667</v>
      </c>
      <c r="AQ6" s="61">
        <f>+GETPIVOTDATA("ADJBAL",AGTRAXDATA!$F$1,"BRANCH_NUMBER",315,"COMMODITY_CODE","03")/60</f>
        <v>0</v>
      </c>
      <c r="AR6" s="61">
        <f>+GETPIVOTDATA("ADJBAL",AGTRAXDATA!$F$1,"BRANCH_NUMBER",331,"COMMODITY_CODE","03")/60</f>
        <v>23552.683333333334</v>
      </c>
      <c r="AS6" s="61">
        <f>+GETPIVOTDATA("ADJBAL",AGTRAXDATA!$F$1,"BRANCH_NUMBER",341,"COMMODITY_CODE","03")/60</f>
        <v>184825.31666666668</v>
      </c>
      <c r="AT6" s="61">
        <f>+GETPIVOTDATA("ADJBAL",AGTRAXDATA!$F$1,"BRANCH_NUMBER",351,"COMMODITY_CODE","03")/60</f>
        <v>152325.63333333333</v>
      </c>
      <c r="AU6" s="61">
        <f>+GETPIVOTDATA("ADJBAL",AGTRAXDATA!$F$1,"BRANCH_NUMBER",361,"COMMODITY_CODE","03")/60</f>
        <v>0</v>
      </c>
      <c r="AV6" s="61">
        <f>(+GETPIVOTDATA("ADJBAL",AGTRAXDATA!$F$1,"BRANCH_NUMBER",432,"COMMODITY_CODE","03")+GETPIVOTDATA("ADJBAL",AGTRAXDATA!$F$1,"BRANCH_NUMBER",433,"COMMODITY_CODE","03"))/60</f>
        <v>744127.25</v>
      </c>
      <c r="AW6" s="61">
        <f>+GETPIVOTDATA("ADJBAL",AGTRAXDATA!$F$1,"BRANCH_NUMBER",442,"COMMODITY_CODE","03")/60</f>
        <v>285625.96666666667</v>
      </c>
      <c r="AX6" s="61">
        <f>+GETPIVOTDATA("ADJBAL",AGTRAXDATA!$F$1,"BRANCH_NUMBER",443,"COMMODITY_CODE","03")/60</f>
        <v>463126.95</v>
      </c>
      <c r="AY6" s="61">
        <f>+GETPIVOTDATA("ADJBAL",AGTRAXDATA!$F$1,"BRANCH_NUMBER",445,"COMMODITY_CODE","03")/60</f>
        <v>0</v>
      </c>
      <c r="AZ6" s="61">
        <f>+GETPIVOTDATA("ADJBAL",AGTRAXDATA!$F$1,"BRANCH_NUMBER",447,"COMMODITY_CODE","03")/60</f>
        <v>419648.98333333334</v>
      </c>
      <c r="BA6" s="61">
        <f>+GETPIVOTDATA("ADJBAL",AGTRAXDATA!$F$1,"BRANCH_NUMBER",510,"COMMODITY_CODE","03")/60</f>
        <v>213716.68333333332</v>
      </c>
      <c r="BB6" s="61">
        <f>+GETPIVOTDATA("ADJBAL",AGTRAXDATA!$F$1,"BRANCH_NUMBER",520,"COMMODITY_CODE","03")/60</f>
        <v>0</v>
      </c>
      <c r="BC6" s="61">
        <f>+GETPIVOTDATA("ADJBAL",AGTRAXDATA!$F$1,"BRANCH_NUMBER",530,"COMMODITY_CODE","03")/60</f>
        <v>9415.4333333333325</v>
      </c>
      <c r="BD6" s="61">
        <f>+GETPIVOTDATA("ADJBAL",AGTRAXDATA!$F$1,"BRANCH_NUMBER",540,"COMMODITY_CODE","03")/60</f>
        <v>135995.86666666667</v>
      </c>
      <c r="BE6" s="61">
        <f>+GETPIVOTDATA("ADJBAL",AGTRAXDATA!$F$1,"BRANCH_NUMBER",541,"COMMODITY_CODE","03")/60</f>
        <v>59990.616666666669</v>
      </c>
      <c r="BF6" s="61">
        <f>+GETPIVOTDATA("ADJBAL",AGTRAXDATA!$F$1,"BRANCH_NUMBER",542,"COMMODITY_CODE","03")/60</f>
        <v>52952.466666666667</v>
      </c>
      <c r="BG6" s="61">
        <f>+GETPIVOTDATA("ADJBAL",AGTRAXDATA!$F$1,"BRANCH_NUMBER",543,"COMMODITY_CODE","03")/60</f>
        <v>18969.05</v>
      </c>
      <c r="BH6" s="61">
        <f>+GETPIVOTDATA("ADJBAL",AGTRAXDATA!$F$1,"BRANCH_NUMBER",544,"COMMODITY_CODE","03")/60</f>
        <v>69904.933333333334</v>
      </c>
      <c r="BI6" s="61">
        <f>+GETPIVOTDATA("ADJBAL",AGTRAXDATA!$F$1,"BRANCH_NUMBER",545,"COMMODITY_CODE","03")/60</f>
        <v>49512.916666666664</v>
      </c>
      <c r="BJ6" s="61">
        <f>+GETPIVOTDATA("ADJBAL",AGTRAXDATA!$F$1,"BRANCH_NUMBER",546,"COMMODITY_CODE","03")/60</f>
        <v>114931.56666666667</v>
      </c>
      <c r="BK6" s="61">
        <f>+GETPIVOTDATA("ADJBAL",AGTRAXDATA!$F$1,"BRANCH_NUMBER",547,"COMMODITY_CODE","03")/60</f>
        <v>106808.55</v>
      </c>
      <c r="BL6" s="61">
        <f>+GETPIVOTDATA("ADJBAL",AGTRAXDATA!$F$1,"BRANCH_NUMBER",548,"COMMODITY_CODE","03")/60</f>
        <v>58913.633333333331</v>
      </c>
      <c r="BM6" s="61">
        <f>+GETPIVOTDATA("ADJBAL",AGTRAXDATA!$F$1,"BRANCH_NUMBER",549,"COMMODITY_CODE","03")/60</f>
        <v>0</v>
      </c>
      <c r="BN6" s="61">
        <f>+GETPIVOTDATA("ADJBAL",AGTRAXDATA!$F$1,"BRANCH_NUMBER",550,"COMMODITY_CODE","03")/60</f>
        <v>36143.033333333333</v>
      </c>
      <c r="BO6" s="61">
        <f>+GETPIVOTDATA("ADJBAL",AGTRAXDATA!$F$1,"BRANCH_NUMBER",551,"COMMODITY_CODE","03")/60</f>
        <v>129173.41666666667</v>
      </c>
      <c r="BP6" s="61">
        <f>+GETPIVOTDATA("ADJBAL",AGTRAXDATA!$F$1,"BRANCH_NUMBER",195,"COMMODITY_CODE","03")/60</f>
        <v>225781.8</v>
      </c>
      <c r="BQ6" s="61">
        <f>+GETPIVOTDATA("ADJBAL",AGTRAXDATA!$F$1,"BRANCH_NUMBER",196,"COMMODITY_CODE","03")/60</f>
        <v>30289.95</v>
      </c>
      <c r="BR6" s="61">
        <f>+GETPIVOTDATA("ADJBAL",AGTRAXDATA!$F$1,"BRANCH_NUMBER",198,"COMMODITY_CODE","03")/60</f>
        <v>0</v>
      </c>
      <c r="BS6" s="61">
        <f>+GETPIVOTDATA("ADJBAL",AGTRAXDATA!$F$1,"BRANCH_NUMBER",193,"COMMODITY_CODE","03")/60</f>
        <v>84763.083333333328</v>
      </c>
      <c r="BT6" s="61">
        <f>+GETPIVOTDATA("ADJBAL",AGTRAXDATA!$F$1,"BRANCH_NUMBER",194,"COMMODITY_CODE","03")/60</f>
        <v>0</v>
      </c>
      <c r="BU6" s="61">
        <f>+GETPIVOTDATA("ADJBAL",AGTRAXDATA!$F$1,"BRANCH_NUMBER",192,"COMMODITY_CODE","03")/60</f>
        <v>359795.63333333336</v>
      </c>
      <c r="BV6" s="61"/>
      <c r="BW6" s="61">
        <f>+GETPIVOTDATA("ADJBAL",AGTRAXDATA!$F$1,"BRANCH_NUMBER",565,"COMMODITY_CODE","03")/60</f>
        <v>0</v>
      </c>
      <c r="BX6" s="61"/>
      <c r="BY6" s="61"/>
      <c r="BZ6" s="61">
        <f t="shared" si="0"/>
        <v>11305947.199999999</v>
      </c>
      <c r="CA6" s="61"/>
    </row>
    <row r="7" spans="1:79" s="62" customFormat="1" x14ac:dyDescent="0.25">
      <c r="A7" s="62" t="s">
        <v>77</v>
      </c>
      <c r="B7" s="61">
        <f>+GETPIVOTDATA("ADJBAL",AGTRAXDATA!$F$1,"BRANCH_NUMBER",171,"COMMODITY_CODE","22")/25</f>
        <v>0</v>
      </c>
      <c r="C7" s="61">
        <f>+GETPIVOTDATA("ADJBAL",AGTRAXDATA!$F$1,"BRANCH_NUMBER",101,"COMMODITY_CODE","22")/25</f>
        <v>0</v>
      </c>
      <c r="D7" s="61">
        <f>+GETPIVOTDATA("ADJBAL",AGTRAXDATA!$F$1,"BRANCH_NUMBER",21,"COMMODITY_CODE","22")/25</f>
        <v>0</v>
      </c>
      <c r="E7" s="61">
        <f>+GETPIVOTDATA("ADJBAL",AGTRAXDATA!$F$1,"BRANCH_NUMBER",111,"COMMODITY_CODE","22")/25</f>
        <v>0</v>
      </c>
      <c r="F7" s="61">
        <f>+GETPIVOTDATA("ADJBAL",AGTRAXDATA!$F$1,"BRANCH_NUMBER",131,"COMMODITY_CODE","22")/25</f>
        <v>0</v>
      </c>
      <c r="G7" s="61">
        <f>+GETPIVOTDATA("ADJBAL",AGTRAXDATA!$F$1,"BRANCH_NUMBER",191,"COMMODITY_CODE","22")/25</f>
        <v>0</v>
      </c>
      <c r="H7" s="61">
        <f>+GETPIVOTDATA("ADJBAL",AGTRAXDATA!$F$1,"BRANCH_NUMBER",190,"COMMODITY_CODE","22")/25</f>
        <v>0</v>
      </c>
      <c r="I7" s="61">
        <f>+GETPIVOTDATA("ADJBAL",AGTRAXDATA!$F$1,"BRANCH_NUMBER",141,"COMMODITY_CODE","22")/25</f>
        <v>0</v>
      </c>
      <c r="J7" s="61">
        <f>+GETPIVOTDATA("ADJBAL",AGTRAXDATA!$F$1,"BRANCH_NUMBER",91,"COMMODITY_CODE","22")/25</f>
        <v>0</v>
      </c>
      <c r="K7" s="61">
        <f>+GETPIVOTDATA("ADJBAL",AGTRAXDATA!$F$1,"BRANCH_NUMBER",31,"COMMODITY_CODE","22")/25</f>
        <v>0</v>
      </c>
      <c r="L7" s="61">
        <f>+GETPIVOTDATA("ADJBAL",AGTRAXDATA!$F$1,"BRANCH_NUMBER",31,"COMMODITY_CODE","22")/25</f>
        <v>0</v>
      </c>
      <c r="M7" s="61">
        <f>+GETPIVOTDATA("ADJBAL",AGTRAXDATA!$F$1,"BRANCH_NUMBER",71,"COMMODITY_CODE","22")/25</f>
        <v>0</v>
      </c>
      <c r="N7" s="61">
        <f>+GETPIVOTDATA("ADJBAL",AGTRAXDATA!$F$1,"BRANCH_NUMBER",183,"COMMODITY_CODE","22")/25</f>
        <v>0</v>
      </c>
      <c r="O7" s="61">
        <f>+GETPIVOTDATA("ADJBAL",AGTRAXDATA!$F$1,"BRANCH_NUMBER",61,"COMMODITY_CODE","22")/25</f>
        <v>-425.68</v>
      </c>
      <c r="P7" s="61">
        <f>+GETPIVOTDATA("ADJBAL",AGTRAXDATA!$F$1,"BRANCH_NUMBER",11,"COMMODITY_CODE","22")/25</f>
        <v>0</v>
      </c>
      <c r="Q7" s="61">
        <f>+GETPIVOTDATA("ADJBAL",AGTRAXDATA!$F$1,"BRANCH_NUMBER",182,"COMMODITY_CODE","22")/25</f>
        <v>0</v>
      </c>
      <c r="R7" s="61">
        <f>+GETPIVOTDATA("ADJBAL",AGTRAXDATA!$F$1,"BRANCH_NUMBER",181,"COMMODITY_CODE","22")/25</f>
        <v>0</v>
      </c>
      <c r="S7" s="61">
        <f>+GETPIVOTDATA("ADJBAL",AGTRAXDATA!$F$1,"BRANCH_NUMBER",161,"COMMODITY_CODE","22")/25</f>
        <v>0</v>
      </c>
      <c r="T7" s="61">
        <f>+GETPIVOTDATA("ADJBAL",AGTRAXDATA!$F$1,"BRANCH_NUMBER",151,"COMMODITY_CODE","22")/25</f>
        <v>0</v>
      </c>
      <c r="U7" s="61">
        <f>+GETPIVOTDATA("ADJBAL",AGTRAXDATA!$F$1,"BRANCH_NUMBER",81,"COMMODITY_CODE","22")/25</f>
        <v>0</v>
      </c>
      <c r="V7" s="61">
        <f>+GETPIVOTDATA("ADJBAL",AGTRAXDATA!$F$1,"BRANCH_NUMBER",185,"COMMODITY_CODE","22")/25</f>
        <v>0</v>
      </c>
      <c r="W7" s="61">
        <f>+GETPIVOTDATA("ADJBAL",AGTRAXDATA!$F$1,"BRANCH_NUMBER",205,"COMMODITY_CODE","22")/25</f>
        <v>0</v>
      </c>
      <c r="X7" s="61">
        <f>+GETPIVOTDATA("ADJBAL",AGTRAXDATA!$F$1,"BRANCH_NUMBER",212,"COMMODITY_CODE","22")/25</f>
        <v>0</v>
      </c>
      <c r="Y7" s="61">
        <f>+GETPIVOTDATA("ADJBAL",AGTRAXDATA!$F$1,"BRANCH_NUMBER",215,"COMMODITY_CODE","22")/25</f>
        <v>0</v>
      </c>
      <c r="Z7" s="61">
        <f>+GETPIVOTDATA("ADJBAL",AGTRAXDATA!$F$1,"BRANCH_NUMBER",222,"COMMODITY_CODE","22")/25</f>
        <v>0</v>
      </c>
      <c r="AA7" s="61">
        <f>+GETPIVOTDATA("ADJBAL",AGTRAXDATA!$F$1,"BRANCH_NUMBER",242,"COMMODITY_CODE","22")/25</f>
        <v>0</v>
      </c>
      <c r="AB7" s="61">
        <f>+GETPIVOTDATA("ADJBAL",AGTRAXDATA!$F$1,"BRANCH_NUMBER",245,"COMMODITY_CODE","22")/25</f>
        <v>0</v>
      </c>
      <c r="AC7" s="61">
        <f>+GETPIVOTDATA("ADJBAL",AGTRAXDATA!$F$1,"BRANCH_NUMBER",252,"COMMODITY_CODE","22")/25</f>
        <v>0</v>
      </c>
      <c r="AD7" s="61">
        <f>+GETPIVOTDATA("ADJBAL",AGTRAXDATA!$F$1,"BRANCH_NUMBER",262,"COMMODITY_CODE","22")/25</f>
        <v>0</v>
      </c>
      <c r="AE7" s="61">
        <f>+GETPIVOTDATA("ADJBAL",AGTRAXDATA!$F$1,"BRANCH_NUMBER",272,"COMMODITY_CODE","22")/25</f>
        <v>0</v>
      </c>
      <c r="AF7" s="61">
        <f>+GETPIVOTDATA("ADJBAL",AGTRAXDATA!$F$1,"BRANCH_NUMBER",292,"COMMODITY_CODE","22")/25</f>
        <v>0</v>
      </c>
      <c r="AG7" s="61">
        <f>+GETPIVOTDATA("ADJBAL",AGTRAXDATA!$F$1,"BRANCH_NUMBER",292,"COMMODITY_CODE","22")/25</f>
        <v>0</v>
      </c>
      <c r="AH7" s="61">
        <f>+GETPIVOTDATA("ADJBAL",AGTRAXDATA!$F$1,"BRANCH_NUMBER",187,"COMMODITY_CODE","22")/25</f>
        <v>0</v>
      </c>
      <c r="AI7" s="61">
        <f>+GETPIVOTDATA("ADJBAL",AGTRAXDATA!$F$1,"BRANCH_NUMBER",188,"COMMODITY_CODE","22")/25</f>
        <v>0</v>
      </c>
      <c r="AJ7" s="61">
        <f>+GETPIVOTDATA("ADJBAL",AGTRAXDATA!$F$1,"BRANCH_NUMBER",295,"COMMODITY_CODE","22")/25</f>
        <v>0</v>
      </c>
      <c r="AK7" s="61">
        <f>+GETPIVOTDATA("ADJBAL",AGTRAXDATA!$F$1,"BRANCH_NUMBER",294,"COMMODITY_CODE","22")/25</f>
        <v>0</v>
      </c>
      <c r="AL7" s="61">
        <f>+GETPIVOTDATA("ADJBAL",AGTRAXDATA!$F$1,"BRANCH_NUMBER",296,"COMMODITY_CODE","22")/25</f>
        <v>0</v>
      </c>
      <c r="AM7" s="61">
        <f>+GETPIVOTDATA("ADJBAL",AGTRAXDATA!$F$1,"BRANCH_NUMBER",293,"COMMODITY_CODE","22")/25</f>
        <v>0</v>
      </c>
      <c r="AN7" s="61">
        <f>+GETPIVOTDATA("ADJBAL",AGTRAXDATA!$F$1,"BRANCH_NUMBER",560,"COMMODITY_CODE","22")/25</f>
        <v>0</v>
      </c>
      <c r="AO7" s="61">
        <f>+GETPIVOTDATA("ADJBAL",AGTRAXDATA!$F$1,"BRANCH_NUMBER",561,"COMMODITY_CODE","22")/25</f>
        <v>0</v>
      </c>
      <c r="AP7" s="61">
        <f>+GETPIVOTDATA("ADJBAL",AGTRAXDATA!$F$1,"BRANCH_NUMBER",311,"COMMODITY_CODE","22")/25</f>
        <v>0</v>
      </c>
      <c r="AQ7" s="61">
        <f>+GETPIVOTDATA("ADJBAL",AGTRAXDATA!$F$1,"BRANCH_NUMBER",315,"COMMODITY_CODE","22")/25</f>
        <v>0</v>
      </c>
      <c r="AR7" s="61">
        <f>+GETPIVOTDATA("ADJBAL",AGTRAXDATA!$F$1,"BRANCH_NUMBER",331,"COMMODITY_CODE","22")/25</f>
        <v>0</v>
      </c>
      <c r="AS7" s="61">
        <f>+GETPIVOTDATA("ADJBAL",AGTRAXDATA!$F$1,"BRANCH_NUMBER",341,"COMMODITY_CODE","22")/25</f>
        <v>543.79999999999995</v>
      </c>
      <c r="AT7" s="61">
        <f>+GETPIVOTDATA("ADJBAL",AGTRAXDATA!$F$1,"BRANCH_NUMBER",351,"COMMODITY_CODE","22")/25</f>
        <v>0</v>
      </c>
      <c r="AU7" s="61">
        <f>+GETPIVOTDATA("ADJBAL",AGTRAXDATA!$F$1,"BRANCH_NUMBER",361,"COMMODITY_CODE","22")/25</f>
        <v>0</v>
      </c>
      <c r="AV7" s="61">
        <f>(+GETPIVOTDATA("ADJBAL",AGTRAXDATA!$F$1,"BRANCH_NUMBER",432,"COMMODITY_CODE","22")+GETPIVOTDATA("ADJBAL",AGTRAXDATA!$F$1,"BRANCH_NUMBER",433,"COMMODITY_CODE","22"))/25</f>
        <v>0</v>
      </c>
      <c r="AW7" s="61">
        <f>+GETPIVOTDATA("ADJBAL",AGTRAXDATA!$F$1,"BRANCH_NUMBER",442,"COMMODITY_CODE","22")/25</f>
        <v>0</v>
      </c>
      <c r="AX7" s="61">
        <f>+GETPIVOTDATA("ADJBAL",AGTRAXDATA!$F$1,"BRANCH_NUMBER",443,"COMMODITY_CODE","22")/25</f>
        <v>0</v>
      </c>
      <c r="AY7" s="61">
        <f>+GETPIVOTDATA("ADJBAL",AGTRAXDATA!$F$1,"BRANCH_NUMBER",445,"COMMODITY_CODE","22")/25</f>
        <v>0</v>
      </c>
      <c r="AZ7" s="61">
        <f>+GETPIVOTDATA("ADJBAL",AGTRAXDATA!$F$1,"BRANCH_NUMBER",447,"COMMODITY_CODE","22")/25</f>
        <v>0</v>
      </c>
      <c r="BA7" s="61">
        <f>+GETPIVOTDATA("ADJBAL",AGTRAXDATA!$F$1,"BRANCH_NUMBER",510,"COMMODITY_CODE","22")/25</f>
        <v>0</v>
      </c>
      <c r="BB7" s="61">
        <f>+GETPIVOTDATA("ADJBAL",AGTRAXDATA!$F$1,"BRANCH_NUMBER",520,"COMMODITY_CODE","22")/25</f>
        <v>-357.36</v>
      </c>
      <c r="BC7" s="61">
        <f>+GETPIVOTDATA("ADJBAL",AGTRAXDATA!$F$1,"BRANCH_NUMBER",530,"COMMODITY_CODE","22")/25</f>
        <v>0</v>
      </c>
      <c r="BD7" s="61">
        <f>+GETPIVOTDATA("ADJBAL",AGTRAXDATA!$F$1,"BRANCH_NUMBER",540,"COMMODITY_CODE","22")/25</f>
        <v>0</v>
      </c>
      <c r="BE7" s="61">
        <f>+GETPIVOTDATA("ADJBAL",AGTRAXDATA!$F$1,"BRANCH_NUMBER",541,"COMMODITY_CODE","22")/25</f>
        <v>0</v>
      </c>
      <c r="BF7" s="61">
        <f>+GETPIVOTDATA("ADJBAL",AGTRAXDATA!$F$1,"BRANCH_NUMBER",542,"COMMODITY_CODE","22")/25</f>
        <v>0</v>
      </c>
      <c r="BG7" s="61">
        <f>+GETPIVOTDATA("ADJBAL",AGTRAXDATA!$F$1,"BRANCH_NUMBER",543,"COMMODITY_CODE","22")/25</f>
        <v>0</v>
      </c>
      <c r="BH7" s="61">
        <f>+GETPIVOTDATA("ADJBAL",AGTRAXDATA!$F$1,"BRANCH_NUMBER",544,"COMMODITY_CODE","22")/25</f>
        <v>0</v>
      </c>
      <c r="BI7" s="61">
        <f>+GETPIVOTDATA("ADJBAL",AGTRAXDATA!$F$1,"BRANCH_NUMBER",545,"COMMODITY_CODE","22")/60</f>
        <v>0</v>
      </c>
      <c r="BJ7" s="61">
        <f>+GETPIVOTDATA("ADJBAL",AGTRAXDATA!$F$1,"BRANCH_NUMBER",546,"COMMODITY_CODE","22")/25</f>
        <v>0</v>
      </c>
      <c r="BK7" s="61">
        <f>+GETPIVOTDATA("ADJBAL",AGTRAXDATA!$F$1,"BRANCH_NUMBER",547,"COMMODITY_CODE","22")/25</f>
        <v>0</v>
      </c>
      <c r="BL7" s="61">
        <f>+GETPIVOTDATA("ADJBAL",AGTRAXDATA!$F$1,"BRANCH_NUMBER",548,"COMMODITY_CODE","22")/25</f>
        <v>0</v>
      </c>
      <c r="BM7" s="61">
        <f>+GETPIVOTDATA("ADJBAL",AGTRAXDATA!$F$1,"BRANCH_NUMBER",549,"COMMODITY_CODE","22")/25</f>
        <v>0</v>
      </c>
      <c r="BN7" s="61">
        <f>+GETPIVOTDATA("ADJBAL",AGTRAXDATA!$F$1,"BRANCH_NUMBER",550,"COMMODITY_CODE","22")/25</f>
        <v>0</v>
      </c>
      <c r="BO7" s="61">
        <f>+GETPIVOTDATA("ADJBAL",AGTRAXDATA!$F$1,"BRANCH_NUMBER",551,"COMMODITY_CODE","22")/25</f>
        <v>0</v>
      </c>
      <c r="BP7" s="61">
        <f>+GETPIVOTDATA("ADJBAL",AGTRAXDATA!$F$1,"BRANCH_NUMBER",195,"COMMODITY_CODE","22")/25</f>
        <v>299.27999999999997</v>
      </c>
      <c r="BQ7" s="61">
        <f>+GETPIVOTDATA("ADJBAL",AGTRAXDATA!$F$1,"BRANCH_NUMBER",196,"COMMODITY_CODE","22")/25</f>
        <v>0</v>
      </c>
      <c r="BR7" s="61">
        <f>+GETPIVOTDATA("ADJBAL",AGTRAXDATA!$F$1,"BRANCH_NUMBER",198,"COMMODITY_CODE","22")/25</f>
        <v>0</v>
      </c>
      <c r="BS7" s="61">
        <f>+GETPIVOTDATA("ADJBAL",AGTRAXDATA!$F$1,"BRANCH_NUMBER",193,"COMMODITY_CODE","22")/25</f>
        <v>0</v>
      </c>
      <c r="BT7" s="61">
        <f>+GETPIVOTDATA("ADJBAL",AGTRAXDATA!$F$1,"BRANCH_NUMBER",194,"COMMODITY_CODE","22")/25</f>
        <v>0</v>
      </c>
      <c r="BU7" s="61">
        <f>+GETPIVOTDATA("ADJBAL",AGTRAXDATA!$F$1,"BRANCH_NUMBER",192,"COMMODITY_CODE","22")/25</f>
        <v>0</v>
      </c>
      <c r="BV7" s="61"/>
      <c r="BW7" s="61">
        <f>+GETPIVOTDATA("ADJBAL",AGTRAXDATA!$F$1,"BRANCH_NUMBER",565,"COMMODITY_CODE","22")/25</f>
        <v>0</v>
      </c>
      <c r="BX7" s="61"/>
      <c r="BY7" s="61"/>
      <c r="BZ7" s="61">
        <f t="shared" si="0"/>
        <v>60.039999999999907</v>
      </c>
    </row>
    <row r="8" spans="1:79" s="62" customFormat="1" x14ac:dyDescent="0.25">
      <c r="A8" s="62" t="s">
        <v>130</v>
      </c>
      <c r="B8" s="76">
        <v>0</v>
      </c>
      <c r="C8" s="76">
        <v>0</v>
      </c>
      <c r="D8" s="76">
        <v>0</v>
      </c>
      <c r="E8" s="76">
        <v>0</v>
      </c>
      <c r="F8" s="76">
        <v>0</v>
      </c>
      <c r="G8" s="76"/>
      <c r="H8" s="76">
        <v>0</v>
      </c>
      <c r="I8" s="76">
        <v>0</v>
      </c>
      <c r="J8" s="76">
        <v>0</v>
      </c>
      <c r="K8" s="76">
        <v>0</v>
      </c>
      <c r="L8" s="76">
        <v>0</v>
      </c>
      <c r="M8" s="76"/>
      <c r="N8" s="76">
        <v>0</v>
      </c>
      <c r="O8" s="76">
        <v>0</v>
      </c>
      <c r="P8" s="76">
        <v>0</v>
      </c>
      <c r="Q8" s="76">
        <v>0</v>
      </c>
      <c r="R8" s="76"/>
      <c r="S8" s="76">
        <v>0</v>
      </c>
      <c r="T8" s="76">
        <v>0</v>
      </c>
      <c r="U8" s="76">
        <v>0</v>
      </c>
      <c r="V8" s="76">
        <v>0</v>
      </c>
      <c r="W8" s="76">
        <v>0</v>
      </c>
      <c r="X8" s="76"/>
      <c r="Y8" s="76">
        <v>0</v>
      </c>
      <c r="Z8" s="76">
        <v>0</v>
      </c>
      <c r="AA8" s="76">
        <v>0</v>
      </c>
      <c r="AB8" s="76">
        <v>0</v>
      </c>
      <c r="AC8" s="76">
        <v>0</v>
      </c>
      <c r="AD8" s="76">
        <v>0</v>
      </c>
      <c r="AE8" s="76">
        <v>0</v>
      </c>
      <c r="AF8" s="76">
        <v>0</v>
      </c>
      <c r="AG8" s="76">
        <v>0</v>
      </c>
      <c r="AH8" s="76"/>
      <c r="AI8" s="76"/>
      <c r="AJ8" s="76"/>
      <c r="AK8" s="76"/>
      <c r="AL8" s="76"/>
      <c r="AM8" s="76"/>
      <c r="AN8" s="76"/>
      <c r="AO8" s="76">
        <v>0</v>
      </c>
      <c r="AP8" s="76">
        <v>0</v>
      </c>
      <c r="AQ8" s="76">
        <v>0</v>
      </c>
      <c r="AR8" s="76">
        <v>0</v>
      </c>
      <c r="AS8" s="76">
        <v>0</v>
      </c>
      <c r="AT8" s="76">
        <v>0</v>
      </c>
      <c r="AU8" s="76">
        <v>0</v>
      </c>
      <c r="AV8" s="76">
        <v>0</v>
      </c>
      <c r="AW8" s="76">
        <v>0</v>
      </c>
      <c r="AX8" s="76">
        <v>0</v>
      </c>
      <c r="AY8" s="76">
        <v>0</v>
      </c>
      <c r="AZ8" s="76">
        <v>0</v>
      </c>
      <c r="BA8" s="76">
        <v>0</v>
      </c>
      <c r="BB8" s="76">
        <v>0</v>
      </c>
      <c r="BC8" s="76">
        <v>0</v>
      </c>
      <c r="BD8" s="76">
        <v>0</v>
      </c>
      <c r="BE8" s="76">
        <v>0</v>
      </c>
      <c r="BF8" s="76">
        <v>0</v>
      </c>
      <c r="BG8" s="76">
        <v>0</v>
      </c>
      <c r="BH8" s="76">
        <v>0</v>
      </c>
      <c r="BI8" s="76">
        <v>0</v>
      </c>
      <c r="BJ8" s="76">
        <v>0</v>
      </c>
      <c r="BK8" s="76">
        <v>0</v>
      </c>
      <c r="BL8" s="76">
        <v>0</v>
      </c>
      <c r="BM8" s="76">
        <v>0</v>
      </c>
      <c r="BN8" s="76">
        <v>0</v>
      </c>
      <c r="BO8" s="76">
        <v>0</v>
      </c>
      <c r="BP8" s="76">
        <v>0</v>
      </c>
      <c r="BQ8" s="76">
        <v>0</v>
      </c>
      <c r="BR8" s="76">
        <v>0</v>
      </c>
      <c r="BS8" s="76">
        <v>0</v>
      </c>
      <c r="BT8" s="76">
        <v>0</v>
      </c>
      <c r="BU8" s="76">
        <v>0</v>
      </c>
      <c r="BV8" s="76"/>
      <c r="BW8" s="76">
        <v>0</v>
      </c>
      <c r="BX8" s="76"/>
      <c r="BY8" s="76"/>
      <c r="BZ8" s="61">
        <f t="shared" si="0"/>
        <v>0</v>
      </c>
    </row>
    <row r="9" spans="1:79" s="62" customFormat="1" ht="6" customHeight="1" x14ac:dyDescent="0.25">
      <c r="B9" s="76"/>
      <c r="C9" s="76"/>
      <c r="D9" s="77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76"/>
      <c r="BK9" s="76"/>
      <c r="BL9" s="76"/>
      <c r="BM9" s="76"/>
      <c r="BN9" s="76"/>
      <c r="BO9" s="76"/>
      <c r="BP9" s="76"/>
      <c r="BQ9" s="76"/>
      <c r="BR9" s="76"/>
      <c r="BS9" s="76"/>
      <c r="BT9" s="76"/>
      <c r="BU9" s="76"/>
      <c r="BV9" s="76"/>
      <c r="BW9" s="76"/>
      <c r="BX9" s="76"/>
      <c r="BY9" s="76"/>
      <c r="BZ9" s="78"/>
    </row>
    <row r="10" spans="1:79" s="79" customFormat="1" x14ac:dyDescent="0.25">
      <c r="A10" s="79" t="s">
        <v>6</v>
      </c>
      <c r="B10" s="80">
        <f>SUM(B3:B8)</f>
        <v>492433.85</v>
      </c>
      <c r="C10" s="80">
        <f t="shared" ref="C10:BZ10" si="1">SUM(C3:C8)</f>
        <v>117140.33333333333</v>
      </c>
      <c r="D10" s="80">
        <f t="shared" si="1"/>
        <v>495762.16428571433</v>
      </c>
      <c r="E10" s="80">
        <f t="shared" si="1"/>
        <v>335295.09166666673</v>
      </c>
      <c r="F10" s="80">
        <f t="shared" si="1"/>
        <v>207353.2</v>
      </c>
      <c r="G10" s="80">
        <f t="shared" si="1"/>
        <v>883060.8142857143</v>
      </c>
      <c r="H10" s="80">
        <f t="shared" si="1"/>
        <v>782976</v>
      </c>
      <c r="I10" s="80">
        <f t="shared" si="1"/>
        <v>125095.91666666667</v>
      </c>
      <c r="J10" s="80">
        <f t="shared" si="1"/>
        <v>510045.51904761908</v>
      </c>
      <c r="K10" s="80">
        <f t="shared" si="1"/>
        <v>2696634.1654761904</v>
      </c>
      <c r="L10" s="80">
        <f>SUM(L3:L8)</f>
        <v>1035528.5714285715</v>
      </c>
      <c r="M10" s="80">
        <f t="shared" si="1"/>
        <v>888925.66428571416</v>
      </c>
      <c r="N10" s="80">
        <f t="shared" si="1"/>
        <v>135751.87142857141</v>
      </c>
      <c r="O10" s="80">
        <f t="shared" si="1"/>
        <v>485385.09380952379</v>
      </c>
      <c r="P10" s="80">
        <f t="shared" si="1"/>
        <v>671388.92857142852</v>
      </c>
      <c r="Q10" s="80">
        <f t="shared" si="1"/>
        <v>331801.66666666669</v>
      </c>
      <c r="R10" s="80">
        <f t="shared" si="1"/>
        <v>200338.9</v>
      </c>
      <c r="S10" s="80">
        <f t="shared" si="1"/>
        <v>355983.26666666666</v>
      </c>
      <c r="T10" s="80">
        <f t="shared" si="1"/>
        <v>92074.28333333334</v>
      </c>
      <c r="U10" s="80">
        <f t="shared" si="1"/>
        <v>53354.416666666664</v>
      </c>
      <c r="V10" s="80">
        <f t="shared" si="1"/>
        <v>546279.6</v>
      </c>
      <c r="W10" s="80">
        <f t="shared" si="1"/>
        <v>1641436.8726190478</v>
      </c>
      <c r="X10" s="80">
        <f t="shared" si="1"/>
        <v>733286.11547619035</v>
      </c>
      <c r="Y10" s="80">
        <f t="shared" si="1"/>
        <v>1795503.5607142858</v>
      </c>
      <c r="Z10" s="80">
        <f t="shared" si="1"/>
        <v>487806.04880952381</v>
      </c>
      <c r="AA10" s="80">
        <f t="shared" si="1"/>
        <v>968014.73214285716</v>
      </c>
      <c r="AB10" s="80">
        <f t="shared" si="1"/>
        <v>242364.60714285713</v>
      </c>
      <c r="AC10" s="80">
        <f t="shared" si="1"/>
        <v>163811.65714285715</v>
      </c>
      <c r="AD10" s="80">
        <f t="shared" si="1"/>
        <v>337422.28333333333</v>
      </c>
      <c r="AE10" s="80">
        <f t="shared" si="1"/>
        <v>862426.22023809515</v>
      </c>
      <c r="AF10" s="80">
        <f t="shared" si="1"/>
        <v>677244.43214285723</v>
      </c>
      <c r="AG10" s="80">
        <f>SUM(AG3:AG8)</f>
        <v>320573.60714285716</v>
      </c>
      <c r="AH10" s="80">
        <f>SUM(AH3:AH8)</f>
        <v>735415.0440476191</v>
      </c>
      <c r="AI10" s="80">
        <f>SUM(AI3:AI8)</f>
        <v>909618.03571428568</v>
      </c>
      <c r="AJ10" s="80">
        <f t="shared" si="1"/>
        <v>1217691.7678571427</v>
      </c>
      <c r="AK10" s="80">
        <f t="shared" si="1"/>
        <v>542790.30595238088</v>
      </c>
      <c r="AL10" s="80">
        <f>SUM(AL3:AL8)</f>
        <v>418341.83928571426</v>
      </c>
      <c r="AM10" s="80">
        <f t="shared" si="1"/>
        <v>959401.04761904757</v>
      </c>
      <c r="AN10" s="80">
        <f t="shared" si="1"/>
        <v>2298494.0476190476</v>
      </c>
      <c r="AO10" s="80">
        <f>SUM(AO3:AO8)</f>
        <v>4183350.7166666668</v>
      </c>
      <c r="AP10" s="80">
        <f t="shared" si="1"/>
        <v>788196.78809523804</v>
      </c>
      <c r="AQ10" s="80">
        <f t="shared" si="1"/>
        <v>400303.375</v>
      </c>
      <c r="AR10" s="80">
        <f t="shared" si="1"/>
        <v>31681.816666666666</v>
      </c>
      <c r="AS10" s="80">
        <f t="shared" si="1"/>
        <v>745119.60952380951</v>
      </c>
      <c r="AT10" s="80">
        <f t="shared" si="1"/>
        <v>398440.71071428573</v>
      </c>
      <c r="AU10" s="80">
        <f t="shared" si="1"/>
        <v>184802.01666666666</v>
      </c>
      <c r="AV10" s="80">
        <f t="shared" si="1"/>
        <v>2017861.6916666667</v>
      </c>
      <c r="AW10" s="80">
        <f t="shared" si="1"/>
        <v>549645.72619047621</v>
      </c>
      <c r="AX10" s="80">
        <f t="shared" si="1"/>
        <v>926414.00119047624</v>
      </c>
      <c r="AY10" s="80">
        <f t="shared" si="1"/>
        <v>494967.23214285716</v>
      </c>
      <c r="AZ10" s="80">
        <f>SUM(AZ3:AZ8)</f>
        <v>476426.04523809522</v>
      </c>
      <c r="BA10" s="80">
        <f t="shared" si="1"/>
        <v>997088.5964285715</v>
      </c>
      <c r="BB10" s="80">
        <f t="shared" si="1"/>
        <v>151735.66142857145</v>
      </c>
      <c r="BC10" s="80">
        <f t="shared" si="1"/>
        <v>250637.2107142857</v>
      </c>
      <c r="BD10" s="80">
        <f t="shared" si="1"/>
        <v>276328.81309523806</v>
      </c>
      <c r="BE10" s="80">
        <f t="shared" ref="BE10:BO10" si="2">SUM(BE3:BE8)</f>
        <v>706278.91309523815</v>
      </c>
      <c r="BF10" s="80">
        <f t="shared" si="2"/>
        <v>786692.82857142866</v>
      </c>
      <c r="BG10" s="80">
        <f t="shared" si="2"/>
        <v>784724.78809523815</v>
      </c>
      <c r="BH10" s="80">
        <f t="shared" si="2"/>
        <v>700782.57142857148</v>
      </c>
      <c r="BI10" s="80">
        <f t="shared" si="2"/>
        <v>389897.5523809524</v>
      </c>
      <c r="BJ10" s="80">
        <f t="shared" si="2"/>
        <v>376674.45952380955</v>
      </c>
      <c r="BK10" s="80">
        <f t="shared" si="2"/>
        <v>480484.61547619046</v>
      </c>
      <c r="BL10" s="80">
        <f t="shared" si="2"/>
        <v>278938.82738095237</v>
      </c>
      <c r="BM10" s="80">
        <f t="shared" si="2"/>
        <v>141543.53571428571</v>
      </c>
      <c r="BN10" s="80">
        <f t="shared" si="2"/>
        <v>258144.72976190477</v>
      </c>
      <c r="BO10" s="80">
        <f t="shared" si="2"/>
        <v>1053167.5547619048</v>
      </c>
      <c r="BP10" s="80">
        <f t="shared" si="1"/>
        <v>456668.6680952381</v>
      </c>
      <c r="BQ10" s="80">
        <f t="shared" si="1"/>
        <v>84843.192857142858</v>
      </c>
      <c r="BR10" s="80">
        <f t="shared" si="1"/>
        <v>127938.96666666666</v>
      </c>
      <c r="BS10" s="80">
        <f t="shared" si="1"/>
        <v>130493.65476190476</v>
      </c>
      <c r="BT10" s="80">
        <f t="shared" si="1"/>
        <v>372015.93333333335</v>
      </c>
      <c r="BU10" s="80">
        <f t="shared" si="1"/>
        <v>678271.82023809524</v>
      </c>
      <c r="BV10" s="80">
        <f t="shared" si="1"/>
        <v>674108.96666666667</v>
      </c>
      <c r="BW10" s="80">
        <f t="shared" si="1"/>
        <v>471879.66666666669</v>
      </c>
      <c r="BX10" s="80">
        <f t="shared" si="1"/>
        <v>4547782.666666667</v>
      </c>
      <c r="BY10" s="80">
        <f t="shared" si="1"/>
        <v>0</v>
      </c>
      <c r="BZ10" s="80">
        <f t="shared" si="1"/>
        <v>53128585.46619048</v>
      </c>
    </row>
    <row r="11" spans="1:79" ht="6" customHeight="1" x14ac:dyDescent="0.25">
      <c r="A11" s="73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6"/>
      <c r="BH11" s="66"/>
      <c r="BI11" s="66"/>
      <c r="BJ11" s="66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81"/>
    </row>
    <row r="12" spans="1:79" x14ac:dyDescent="0.25">
      <c r="A12" s="63" t="s">
        <v>72</v>
      </c>
      <c r="B12" s="61">
        <f>+GETPIVOTDATA("LBS_UPDATED",SALESCONTRACTS!$E$1,"BRANCH_NUMBER",171,"COMMODITY_CODE","01")/60</f>
        <v>0</v>
      </c>
      <c r="C12" s="61">
        <f>+GETPIVOTDATA("LBS_UPDATED",SALESCONTRACTS!$E$1,"BRANCH_NUMBER",101,"COMMODITY_CODE","01")/60</f>
        <v>293.10000000000002</v>
      </c>
      <c r="D12" s="61">
        <f>+GETPIVOTDATA("LBS_UPDATED",SALESCONTRACTS!$E$1,"BRANCH_NUMBER",21,"COMMODITY_CODE","01")/60</f>
        <v>0</v>
      </c>
      <c r="E12" s="61">
        <f>+GETPIVOTDATA("LBS_UPDATED",SALESCONTRACTS!$E$1,"BRANCH_NUMBER",111,"COMMODITY_CODE","01")/60</f>
        <v>0</v>
      </c>
      <c r="F12" s="61">
        <f>+GETPIVOTDATA("LBS_UPDATED",SALESCONTRACTS!$E$1,"BRANCH_NUMBER",131,"COMMODITY_CODE","01")/60</f>
        <v>0</v>
      </c>
      <c r="G12" s="61">
        <f>+GETPIVOTDATA("LBS_UPDATED",SALESCONTRACTS!$E$1,"BRANCH_NUMBER",191,"COMMODITY_CODE","01")/60</f>
        <v>0</v>
      </c>
      <c r="H12" s="61">
        <f>+GETPIVOTDATA("LBS_UPDATED",SALESCONTRACTS!$E$1,"BRANCH_NUMBER",190,"COMMODITY_CODE","01")/60</f>
        <v>0</v>
      </c>
      <c r="I12" s="61">
        <f>+GETPIVOTDATA("LBS_UPDATED",SALESCONTRACTS!$E$1,"BRANCH_NUMBER",141,"COMMODITY_CODE","01")/60</f>
        <v>15978.233333333334</v>
      </c>
      <c r="J12" s="61">
        <f>+GETPIVOTDATA("LBS_UPDATED",SALESCONTRACTS!$E$1,"BRANCH_NUMBER",91,"COMMODITY_CODE","01")/60</f>
        <v>0</v>
      </c>
      <c r="K12" s="61">
        <f>+GETPIVOTDATA("LBS_UPDATED",SALESCONTRACTS!$E$1,"BRANCH_NUMBER",31,"COMMODITY_CODE","01")/60</f>
        <v>0</v>
      </c>
      <c r="L12" s="61"/>
      <c r="M12" s="61">
        <f>+GETPIVOTDATA("LBS_UPDATED",SALESCONTRACTS!$E$1,"BRANCH_NUMBER",71,"COMMODITY_CODE","01")/60</f>
        <v>0</v>
      </c>
      <c r="N12" s="61">
        <f>+GETPIVOTDATA("LBS_UPDATED",SALESCONTRACTS!$E$1,"BRANCH_NUMBER",183,"COMMODITY_CODE","01")/60</f>
        <v>0</v>
      </c>
      <c r="O12" s="61">
        <f>+GETPIVOTDATA("LBS_UPDATED",SALESCONTRACTS!$E$1,"BRANCH_NUMBER",61,"COMMODITY_CODE","01")/60</f>
        <v>0</v>
      </c>
      <c r="P12" s="61">
        <f>+GETPIVOTDATA("LBS_UPDATED",SALESCONTRACTS!$E$1,"BRANCH_NUMBER",11,"COMMODITY_CODE","01")/60</f>
        <v>164272.85</v>
      </c>
      <c r="Q12" s="61">
        <f>+GETPIVOTDATA("LBS_UPDATED",SALESCONTRACTS!$E$1,"BRANCH_NUMBER",182,"COMMODITY_CODE","01")/60</f>
        <v>0</v>
      </c>
      <c r="R12" s="61">
        <f>+GETPIVOTDATA("LBS_UPDATED",SALESCONTRACTS!$E$1,"BRANCH_NUMBER",181,"COMMODITY_CODE","01")/60</f>
        <v>0</v>
      </c>
      <c r="S12" s="61">
        <f>+GETPIVOTDATA("LBS_UPDATED",SALESCONTRACTS!$E$1,"BRANCH_NUMBER",161,"COMMODITY_CODE","01")/60</f>
        <v>0</v>
      </c>
      <c r="T12" s="61">
        <f>+GETPIVOTDATA("LBS_UPDATED",SALESCONTRACTS!$E$1,"BRANCH_NUMBER",151,"COMMODITY_CODE","01")/60</f>
        <v>0</v>
      </c>
      <c r="U12" s="61">
        <f>+GETPIVOTDATA("LBS_UPDATED",SALESCONTRACTS!$E$1,"BRANCH_NUMBER",81,"COMMODITY_CODE","01")/60</f>
        <v>5.55</v>
      </c>
      <c r="V12" s="61">
        <f>+GETPIVOTDATA("LBS_UPDATED",SALESCONTRACTS!$E$1,"BRANCH_NUMBER",185,"COMMODITY_CODE","01")/60</f>
        <v>0</v>
      </c>
      <c r="W12" s="61">
        <f>+GETPIVOTDATA("LBS_UPDATED",SALESCONTRACTS!$E$1,"BRANCH_NUMBER",205,"COMMODITY_CODE","01")/60</f>
        <v>3243.45</v>
      </c>
      <c r="X12" s="61">
        <f>+GETPIVOTDATA("LBS_UPDATED",SALESCONTRACTS!$E$1,"BRANCH_NUMBER",212,"COMMODITY_CODE","01")/60</f>
        <v>-345.6</v>
      </c>
      <c r="Y12" s="61">
        <f>+GETPIVOTDATA("LBS_UPDATED",SALESCONTRACTS!$E$1,"BRANCH_NUMBER",215,"COMMODITY_CODE","01")/60</f>
        <v>0</v>
      </c>
      <c r="Z12" s="61">
        <f>+GETPIVOTDATA("LBS_UPDATED",SALESCONTRACTS!$E$1,"BRANCH_NUMBER",222,"COMMODITY_CODE","01")/60</f>
        <v>0</v>
      </c>
      <c r="AA12" s="61">
        <f>+GETPIVOTDATA("LBS_UPDATED",SALESCONTRACTS!$E$1,"BRANCH_NUMBER",242,"COMMODITY_CODE","01")/60</f>
        <v>0</v>
      </c>
      <c r="AB12" s="61">
        <f>+GETPIVOTDATA("LBS_UPDATED",SALESCONTRACTS!$E$1,"BRANCH_NUMBER",245,"COMMODITY_CODE","01")/60</f>
        <v>0</v>
      </c>
      <c r="AC12" s="61">
        <f>+GETPIVOTDATA("LBS_UPDATED",SALESCONTRACTS!$E$1,"BRANCH_NUMBER",252,"COMMODITY_CODE","01")/60</f>
        <v>0</v>
      </c>
      <c r="AD12" s="61">
        <f>+GETPIVOTDATA("LBS_UPDATED",SALESCONTRACTS!$E$1,"BRANCH_NUMBER",262,"COMMODITY_CODE","01")/60</f>
        <v>0</v>
      </c>
      <c r="AE12" s="61">
        <f>+GETPIVOTDATA("LBS_UPDATED",SALESCONTRACTS!$E$1,"BRANCH_NUMBER",272,"COMMODITY_CODE","01")/60</f>
        <v>0</v>
      </c>
      <c r="AF12" s="61">
        <f>+GETPIVOTDATA("LBS_UPDATED",SALESCONTRACTS!$E$1,"BRANCH_NUMBER",292,"COMMODITY_CODE","01")/60</f>
        <v>0</v>
      </c>
      <c r="AG12" s="61">
        <f>+GETPIVOTDATA("LBS_UPDATED",SALESCONTRACTS!$E$1,"BRANCH_NUMBER",291,"COMMODITY_CODE","01")/60</f>
        <v>0</v>
      </c>
      <c r="AH12" s="61">
        <f>+GETPIVOTDATA("LBS_UPDATED",SALESCONTRACTS!$E$1,"BRANCH_NUMBER",187,"COMMODITY_CODE","01")/60</f>
        <v>0</v>
      </c>
      <c r="AI12" s="61"/>
      <c r="AJ12" s="61">
        <f>+GETPIVOTDATA("LBS_UPDATED",SALESCONTRACTS!$E$1,"BRANCH_NUMBER",295,"COMMODITY_CODE","01")/60</f>
        <v>0</v>
      </c>
      <c r="AK12" s="61">
        <f>+GETPIVOTDATA("LBS_UPDATED",SALESCONTRACTS!$E$1,"BRANCH_NUMBER",294,"COMMODITY_CODE","01")/60</f>
        <v>0</v>
      </c>
      <c r="AL12" s="61">
        <f>+GETPIVOTDATA("LBS_UPDATED",SALESCONTRACTS!$E$1,"BRANCH_NUMBER",296,"COMMODITY_CODE","01")/60</f>
        <v>0</v>
      </c>
      <c r="AM12" s="61">
        <f>+GETPIVOTDATA("LBS_UPDATED",SALESCONTRACTS!$E$1,"BRANCH_NUMBER",293,"COMMODITY_CODE","01")/60</f>
        <v>0</v>
      </c>
      <c r="AN12" s="61">
        <f>+GETPIVOTDATA("LBS_UPDATED",SALESCONTRACTS!$E$1,"BRANCH_NUMBER",560,"COMMODITY_CODE","01")/60</f>
        <v>2800000</v>
      </c>
      <c r="AO12" s="61">
        <f>+GETPIVOTDATA("LBS_UPDATED",SALESCONTRACTS!$E$1,"BRANCH_NUMBER",561,"COMMODITY_CODE","01")/60</f>
        <v>0</v>
      </c>
      <c r="AP12" s="61">
        <f>+GETPIVOTDATA("LBS_UPDATED",SALESCONTRACTS!$E$1,"BRANCH_NUMBER",311,"COMMODITY_CODE","01")/60</f>
        <v>0</v>
      </c>
      <c r="AQ12" s="61">
        <f>+GETPIVOTDATA("LBS_UPDATED",SALESCONTRACTS!$E$1,"BRANCH_NUMBER",315,"COMMODITY_CODE","01")/60</f>
        <v>0</v>
      </c>
      <c r="AR12" s="61">
        <f>+GETPIVOTDATA("LBS_UPDATED",SALESCONTRACTS!$E$1,"BRANCH_NUMBER",331,"COMMODITY_CODE","01")/60</f>
        <v>0</v>
      </c>
      <c r="AS12" s="61">
        <f>+GETPIVOTDATA("LBS_UPDATED",SALESCONTRACTS!$E$1,"BRANCH_NUMBER",341,"COMMODITY_CODE","01")/60</f>
        <v>0</v>
      </c>
      <c r="AT12" s="61">
        <f>+GETPIVOTDATA("LBS_UPDATED",SALESCONTRACTS!$E$1,"BRANCH_NUMBER",351,"COMMODITY_CODE","01")/60</f>
        <v>0</v>
      </c>
      <c r="AU12" s="61">
        <f>+GETPIVOTDATA("LBS_UPDATED",SALESCONTRACTS!$E$1,"BRANCH_NUMBER",361,"COMMODITY_CODE","01")/60</f>
        <v>171.8</v>
      </c>
      <c r="AV12" s="61">
        <f>(+GETPIVOTDATA("LBS_UPDATED",SALESCONTRACTS!$E$1,"BRANCH_NUMBER",432,"COMMODITY_CODE","01")+GETPIVOTDATA("LBS_UPDATED",SALESCONTRACTS!$E$1,"BRANCH_NUMBER",433,"COMMODITY_CODE","01"))/60</f>
        <v>0</v>
      </c>
      <c r="AW12" s="61">
        <f>+GETPIVOTDATA("LBS_UPDATED",SALESCONTRACTS!$E$1,"BRANCH_NUMBER",442,"COMMODITY_CODE","01")/60</f>
        <v>0</v>
      </c>
      <c r="AX12" s="61">
        <f>+GETPIVOTDATA("LBS_UPDATED",SALESCONTRACTS!$E$1,"BRANCH_NUMBER",443,"COMMODITY_CODE","01")/60</f>
        <v>0</v>
      </c>
      <c r="AY12" s="61">
        <f>+GETPIVOTDATA("LBS_UPDATED",SALESCONTRACTS!$E$1,"BRANCH_NUMBER",445,"COMMODITY_CODE","01")/60</f>
        <v>0</v>
      </c>
      <c r="AZ12" s="61">
        <f>+GETPIVOTDATA("LBS_UPDATED",SALESCONTRACTS!$E$1,"BRANCH_NUMBER",447,"COMMODITY_CODE","01")/60</f>
        <v>0</v>
      </c>
      <c r="BA12" s="61">
        <f>+GETPIVOTDATA("LBS_UPDATED",SALESCONTRACTS!$E$1,"BRANCH_NUMBER",510,"COMMODITY_CODE","01")/60</f>
        <v>30038.666666666668</v>
      </c>
      <c r="BB12" s="61">
        <f>+GETPIVOTDATA("LBS_UPDATED",SALESCONTRACTS!$E$1,"BRANCH_NUMBER",520,"COMMODITY_CODE","01")/60</f>
        <v>0</v>
      </c>
      <c r="BC12" s="61">
        <f>+GETPIVOTDATA("LBS_UPDATED",SALESCONTRACTS!$E$1,"BRANCH_NUMBER",530,"COMMODITY_CODE","01")/60</f>
        <v>0</v>
      </c>
      <c r="BD12" s="61">
        <f>+GETPIVOTDATA("LBS_UPDATED",SALESCONTRACTS!$E$1,"BRANCH_NUMBER",540,"COMMODITY_CODE","01")/60</f>
        <v>0</v>
      </c>
      <c r="BE12" s="61">
        <f>+GETPIVOTDATA("LBS_UPDATED",SALESCONTRACTS!$E$1,"BRANCH_NUMBER",541,"COMMODITY_CODE","01")/60</f>
        <v>0</v>
      </c>
      <c r="BF12" s="61">
        <f>+GETPIVOTDATA("LBS_UPDATED",SALESCONTRACTS!$E$1,"BRANCH_NUMBER",542,"COMMODITY_CODE","01")/60</f>
        <v>0</v>
      </c>
      <c r="BG12" s="61">
        <f>+GETPIVOTDATA("LBS_UPDATED",SALESCONTRACTS!$E$1,"BRANCH_NUMBER",543,"COMMODITY_CODE","01")/60</f>
        <v>19591.216666666667</v>
      </c>
      <c r="BH12" s="61">
        <f>+GETPIVOTDATA("LBS_UPDATED",SALESCONTRACTS!$E$1,"BRANCH_NUMBER",544,"COMMODITY_CODE","01")/60</f>
        <v>128.19999999999999</v>
      </c>
      <c r="BI12" s="61">
        <f>+GETPIVOTDATA("LBS_UPDATED",SALESCONTRACTS!$E$1,"BRANCH_NUMBER",545,"COMMODITY_CODE","01")/60</f>
        <v>0</v>
      </c>
      <c r="BJ12" s="61">
        <f>+GETPIVOTDATA("LBS_UPDATED",SALESCONTRACTS!$E$1,"BRANCH_NUMBER",546,"COMMODITY_CODE","01")/60</f>
        <v>0</v>
      </c>
      <c r="BK12" s="61">
        <f>+GETPIVOTDATA("LBS_UPDATED",SALESCONTRACTS!$E$1,"BRANCH_NUMBER",547,"COMMODITY_CODE","01")/60</f>
        <v>0</v>
      </c>
      <c r="BL12" s="61">
        <f>+GETPIVOTDATA("LBS_UPDATED",SALESCONTRACTS!$E$1,"BRANCH_NUMBER",548,"COMMODITY_CODE","01")/60</f>
        <v>0</v>
      </c>
      <c r="BM12" s="61">
        <f>+GETPIVOTDATA("LBS_UPDATED",SALESCONTRACTS!$E$1,"BRANCH_NUMBER",549,"COMMODITY_CODE","01")/60</f>
        <v>0</v>
      </c>
      <c r="BN12" s="61">
        <f>+GETPIVOTDATA("LBS_UPDATED",SALESCONTRACTS!$E$1,"BRANCH_NUMBER",550,"COMMODITY_CODE","01")/60</f>
        <v>0</v>
      </c>
      <c r="BO12" s="61">
        <f>+GETPIVOTDATA("LBS_UPDATED",SALESCONTRACTS!$E$1,"BRANCH_NUMBER",551,"COMMODITY_CODE","01")/60</f>
        <v>0</v>
      </c>
      <c r="BP12" s="61">
        <f>+GETPIVOTDATA("LBS_UPDATED",SALESCONTRACTS!$E$1,"BRANCH_NUMBER",195,"COMMODITY_CODE","01")/60</f>
        <v>2577.1999999999998</v>
      </c>
      <c r="BQ12" s="61">
        <f>+GETPIVOTDATA("LBS_UPDATED",SALESCONTRACTS!$E$1,"BRANCH_NUMBER",196,"COMMODITY_CODE","01")/60</f>
        <v>0</v>
      </c>
      <c r="BR12" s="61">
        <f>+GETPIVOTDATA("LBS_UPDATED",SALESCONTRACTS!$E$1,"BRANCH_NUMBER",198,"COMMODITY_CODE","01")/60</f>
        <v>0</v>
      </c>
      <c r="BS12" s="61">
        <f>+GETPIVOTDATA("LBS_UPDATED",SALESCONTRACTS!$E$1,"BRANCH_NUMBER",193,"COMMODITY_CODE","01")/60</f>
        <v>0</v>
      </c>
      <c r="BT12" s="61">
        <f>+GETPIVOTDATA("LBS_UPDATED",SALESCONTRACTS!$E$1,"BRANCH_NUMBER",194,"COMMODITY_CODE","01")/60</f>
        <v>0</v>
      </c>
      <c r="BU12" s="61">
        <f>+GETPIVOTDATA("LBS_UPDATED",SALESCONTRACTS!$E$1,"BRANCH_NUMBER",192,"COMMODITY_CODE","01")/60</f>
        <v>0</v>
      </c>
      <c r="BV12" s="61"/>
      <c r="BW12" s="61">
        <f>+GETPIVOTDATA("LBS_UPDATED",SALESCONTRACTS!$E$1,"BRANCH_NUMBER",565,"COMMODITY_CODE","01")/60</f>
        <v>0</v>
      </c>
      <c r="BX12" s="61"/>
      <c r="BY12" s="61">
        <f>+GETPIVOTDATA("LBS_UPDATED",SALESCONTRACTS!$E$1,"BRANCH_NUMBER",1,"COMMODITY_CODE","01")/60</f>
        <v>2604450.8333333335</v>
      </c>
      <c r="BZ12" s="61">
        <f t="shared" ref="BZ12:BZ22" si="3">SUM(B12:BY12)</f>
        <v>5640405.5</v>
      </c>
    </row>
    <row r="13" spans="1:79" x14ac:dyDescent="0.25">
      <c r="A13" s="63" t="s">
        <v>69</v>
      </c>
      <c r="B13" s="61">
        <f>+GETPIVOTDATA("LBS_UPDATED",SALESCONTRACTS!$E$1,"BRANCH_NUMBER",171,"COMMODITY_CODE","02")/56</f>
        <v>0</v>
      </c>
      <c r="C13" s="61">
        <f>+GETPIVOTDATA("LBS_UPDATED",SALESCONTRACTS!$E$1,"BRANCH_NUMBER",101,"COMMODITY_CODE","02")/56</f>
        <v>0</v>
      </c>
      <c r="D13" s="61">
        <f>+GETPIVOTDATA("LBS_UPDATED",SALESCONTRACTS!$E$1,"BRANCH_NUMBER",21,"COMMODITY_CODE","02")/56</f>
        <v>0</v>
      </c>
      <c r="E13" s="61">
        <f>+GETPIVOTDATA("LBS_UPDATED",SALESCONTRACTS!$E$1,"BRANCH_NUMBER",111,"COMMODITY_CODE","02")/56</f>
        <v>0</v>
      </c>
      <c r="F13" s="61">
        <f>+GETPIVOTDATA("LBS_UPDATED",SALESCONTRACTS!$E$1,"BRANCH_NUMBER",131,"COMMODITY_CODE","02")/56</f>
        <v>0</v>
      </c>
      <c r="G13" s="61">
        <f>+GETPIVOTDATA("LBS_UPDATED",SALESCONTRACTS!$E$1,"BRANCH_NUMBER",191,"COMMODITY_CODE","02")/56</f>
        <v>0</v>
      </c>
      <c r="H13" s="61">
        <f>+GETPIVOTDATA("LBS_UPDATED",SALESCONTRACTS!$E$1,"BRANCH_NUMBER",190,"COMMODITY_CODE","02")/56</f>
        <v>0</v>
      </c>
      <c r="I13" s="61">
        <f>+GETPIVOTDATA("LBS_UPDATED",SALESCONTRACTS!$E$1,"BRANCH_NUMBER",141,"COMMODITY_CODE","02")/56</f>
        <v>0</v>
      </c>
      <c r="J13" s="61">
        <f>+GETPIVOTDATA("LBS_UPDATED",SALESCONTRACTS!$E$1,"BRANCH_NUMBER",91,"COMMODITY_CODE","02")/56</f>
        <v>0</v>
      </c>
      <c r="K13" s="61">
        <f>+GETPIVOTDATA("LBS_UPDATED",SALESCONTRACTS!$E$1,"BRANCH_NUMBER",31,"COMMODITY_CODE","02")/56</f>
        <v>0</v>
      </c>
      <c r="L13" s="61"/>
      <c r="M13" s="61">
        <f>+GETPIVOTDATA("LBS_UPDATED",SALESCONTRACTS!$E$1,"BRANCH_NUMBER",71,"COMMODITY_CODE","02")/56</f>
        <v>0</v>
      </c>
      <c r="N13" s="61">
        <f>+GETPIVOTDATA("LBS_UPDATED",SALESCONTRACTS!$E$1,"BRANCH_NUMBER",183,"COMMODITY_CODE","02")/56</f>
        <v>0</v>
      </c>
      <c r="O13" s="61">
        <f>+GETPIVOTDATA("LBS_UPDATED",SALESCONTRACTS!$E$1,"BRANCH_NUMBER",61,"COMMODITY_CODE","02")/56</f>
        <v>0</v>
      </c>
      <c r="P13" s="61">
        <f>+GETPIVOTDATA("LBS_UPDATED",SALESCONTRACTS!$E$1,"BRANCH_NUMBER",11,"COMMODITY_CODE","02")/56</f>
        <v>0</v>
      </c>
      <c r="Q13" s="61">
        <f>+GETPIVOTDATA("LBS_UPDATED",SALESCONTRACTS!$E$1,"BRANCH_NUMBER",182,"COMMODITY_CODE","02")/56</f>
        <v>0</v>
      </c>
      <c r="R13" s="61">
        <f>+GETPIVOTDATA("LBS_UPDATED",SALESCONTRACTS!$E$1,"BRANCH_NUMBER",181,"COMMODITY_CODE","02")/56</f>
        <v>0</v>
      </c>
      <c r="S13" s="61">
        <f>+GETPIVOTDATA("LBS_UPDATED",SALESCONTRACTS!$E$1,"BRANCH_NUMBER",161,"COMMODITY_CODE","02")/56</f>
        <v>0</v>
      </c>
      <c r="T13" s="61">
        <f>+GETPIVOTDATA("LBS_UPDATED",SALESCONTRACTS!$E$1,"BRANCH_NUMBER",151,"COMMODITY_CODE","02")/56</f>
        <v>0</v>
      </c>
      <c r="U13" s="61">
        <f>+GETPIVOTDATA("LBS_UPDATED",SALESCONTRACTS!$E$1,"BRANCH_NUMBER",81,"COMMODITY_CODE","02")/56</f>
        <v>0</v>
      </c>
      <c r="V13" s="61">
        <f>+GETPIVOTDATA("LBS_UPDATED",SALESCONTRACTS!$E$1,"BRANCH_NUMBER",185,"COMMODITY_CODE","02")/56</f>
        <v>0</v>
      </c>
      <c r="W13" s="61">
        <f>+GETPIVOTDATA("LBS_UPDATED",SALESCONTRACTS!$E$1,"BRANCH_NUMBER",205,"COMMODITY_CODE","02")/56</f>
        <v>0</v>
      </c>
      <c r="X13" s="61">
        <f>+GETPIVOTDATA("LBS_UPDATED",SALESCONTRACTS!$E$1,"BRANCH_NUMBER",212,"COMMODITY_CODE","02")/56</f>
        <v>0</v>
      </c>
      <c r="Y13" s="61">
        <f>+GETPIVOTDATA("LBS_UPDATED",SALESCONTRACTS!$E$1,"BRANCH_NUMBER",215,"COMMODITY_CODE","02")/56</f>
        <v>0</v>
      </c>
      <c r="Z13" s="61">
        <f>+GETPIVOTDATA("LBS_UPDATED",SALESCONTRACTS!$E$1,"BRANCH_NUMBER",222,"COMMODITY_CODE","02")/56</f>
        <v>0</v>
      </c>
      <c r="AA13" s="61">
        <f>+GETPIVOTDATA("LBS_UPDATED",SALESCONTRACTS!$E$1,"BRANCH_NUMBER",242,"COMMODITY_CODE","02")/56</f>
        <v>0</v>
      </c>
      <c r="AB13" s="61">
        <f>+GETPIVOTDATA("LBS_UPDATED",SALESCONTRACTS!$E$1,"BRANCH_NUMBER",245,"COMMODITY_CODE","02")/56</f>
        <v>0</v>
      </c>
      <c r="AC13" s="61">
        <f>+GETPIVOTDATA("LBS_UPDATED",SALESCONTRACTS!$E$1,"BRANCH_NUMBER",252,"COMMODITY_CODE","02")/56</f>
        <v>0</v>
      </c>
      <c r="AD13" s="61">
        <f>+GETPIVOTDATA("LBS_UPDATED",SALESCONTRACTS!$E$1,"BRANCH_NUMBER",262,"COMMODITY_CODE","02")/56</f>
        <v>0</v>
      </c>
      <c r="AE13" s="61">
        <f>+GETPIVOTDATA("LBS_UPDATED",SALESCONTRACTS!$E$1,"BRANCH_NUMBER",272,"COMMODITY_CODE","02")/56</f>
        <v>0</v>
      </c>
      <c r="AF13" s="61">
        <f>+GETPIVOTDATA("LBS_UPDATED",SALESCONTRACTS!$E$1,"BRANCH_NUMBER",292,"COMMODITY_CODE","02")/56</f>
        <v>0</v>
      </c>
      <c r="AG13" s="61">
        <f>+GETPIVOTDATA("LBS_UPDATED",SALESCONTRACTS!$E$1,"BRANCH_NUMBER",291,"COMMODITY_CODE","02")/56</f>
        <v>0</v>
      </c>
      <c r="AH13" s="61">
        <f>+GETPIVOTDATA("LBS_UPDATED",SALESCONTRACTS!$E$1,"BRANCH_NUMBER",187,"COMMODITY_CODE","02")/56</f>
        <v>0</v>
      </c>
      <c r="AI13" s="61"/>
      <c r="AJ13" s="61">
        <f>+GETPIVOTDATA("LBS_UPDATED",SALESCONTRACTS!$E$1,"BRANCH_NUMBER",295,"COMMODITY_CODE","02")/56</f>
        <v>283.92857142857144</v>
      </c>
      <c r="AK13" s="61">
        <f>+GETPIVOTDATA("LBS_UPDATED",SALESCONTRACTS!$E$1,"BRANCH_NUMBER",294,"COMMODITY_CODE","02")/56</f>
        <v>0</v>
      </c>
      <c r="AL13" s="61">
        <f>+GETPIVOTDATA("LBS_UPDATED",SALESCONTRACTS!$E$1,"BRANCH_NUMBER",296,"COMMODITY_CODE","02")/56</f>
        <v>0</v>
      </c>
      <c r="AM13" s="61">
        <f>+GETPIVOTDATA("LBS_UPDATED",SALESCONTRACTS!$E$1,"BRANCH_NUMBER",293,"COMMODITY_CODE","02")/56</f>
        <v>1141.6428571428571</v>
      </c>
      <c r="AN13" s="61">
        <f>+GETPIVOTDATA("LBS_UPDATED",SALESCONTRACTS!$E$1,"BRANCH_NUMBER",560,"COMMODITY_CODE","02")/56</f>
        <v>23461.178571428572</v>
      </c>
      <c r="AO13" s="61">
        <f>+GETPIVOTDATA("LBS_UPDATED",SALESCONTRACTS!$E$1,"BRANCH_NUMBER",561,"COMMODITY_CODE","02")/56</f>
        <v>0</v>
      </c>
      <c r="AP13" s="61">
        <f>+GETPIVOTDATA("LBS_UPDATED",SALESCONTRACTS!$E$1,"BRANCH_NUMBER",311,"COMMODITY_CODE","02")/56</f>
        <v>277.14285714285717</v>
      </c>
      <c r="AQ13" s="61">
        <f>+GETPIVOTDATA("LBS_UPDATED",SALESCONTRACTS!$E$1,"BRANCH_NUMBER",315,"COMMODITY_CODE","02")/56</f>
        <v>0</v>
      </c>
      <c r="AR13" s="61">
        <f>+GETPIVOTDATA("LBS_UPDATED",SALESCONTRACTS!$E$1,"BRANCH_NUMBER",331,"COMMODITY_CODE","02")/56</f>
        <v>0</v>
      </c>
      <c r="AS13" s="61">
        <f>+GETPIVOTDATA("LBS_UPDATED",SALESCONTRACTS!$E$1,"BRANCH_NUMBER",341,"COMMODITY_CODE","02")/56</f>
        <v>0</v>
      </c>
      <c r="AT13" s="61">
        <f>+GETPIVOTDATA("LBS_UPDATED",SALESCONTRACTS!$E$1,"BRANCH_NUMBER",351,"COMMODITY_CODE","02")/56</f>
        <v>0</v>
      </c>
      <c r="AU13" s="61">
        <f>+GETPIVOTDATA("LBS_UPDATED",SALESCONTRACTS!$E$1,"BRANCH_NUMBER",361,"COMMODITY_CODE","02")/56</f>
        <v>0</v>
      </c>
      <c r="AV13" s="61">
        <f>(+GETPIVOTDATA("LBS_UPDATED",SALESCONTRACTS!$E$1,"BRANCH_NUMBER",432,"COMMODITY_CODE","02")+GETPIVOTDATA("LBS_UPDATED",SALESCONTRACTS!$E$1,"BRANCH_NUMBER",433,"COMMODITY_CODE","02"))/56</f>
        <v>0</v>
      </c>
      <c r="AW13" s="61">
        <f>+GETPIVOTDATA("LBS_UPDATED",SALESCONTRACTS!$E$1,"BRANCH_NUMBER",442,"COMMODITY_CODE","02")/56</f>
        <v>0</v>
      </c>
      <c r="AX13" s="61">
        <f>+GETPIVOTDATA("LBS_UPDATED",SALESCONTRACTS!$E$1,"BRANCH_NUMBER",443,"COMMODITY_CODE","02")/56</f>
        <v>0</v>
      </c>
      <c r="AY13" s="61">
        <f>+GETPIVOTDATA("LBS_UPDATED",SALESCONTRACTS!$E$1,"BRANCH_NUMBER",445,"COMMODITY_CODE","02")/56</f>
        <v>0</v>
      </c>
      <c r="AZ13" s="61">
        <f>+GETPIVOTDATA("LBS_UPDATED",SALESCONTRACTS!$E$1,"BRANCH_NUMBER",447,"COMMODITY_CODE","02")/56</f>
        <v>0</v>
      </c>
      <c r="BA13" s="61">
        <f>+GETPIVOTDATA("LBS_UPDATED",SALESCONTRACTS!$E$1,"BRANCH_NUMBER",510,"COMMODITY_CODE","02")/56</f>
        <v>0</v>
      </c>
      <c r="BB13" s="61">
        <f>+GETPIVOTDATA("LBS_UPDATED",SALESCONTRACTS!$E$1,"BRANCH_NUMBER",520,"COMMODITY_CODE","02")/56</f>
        <v>0</v>
      </c>
      <c r="BC13" s="61">
        <f>+GETPIVOTDATA("LBS_UPDATED",SALESCONTRACTS!$E$1,"BRANCH_NUMBER",530,"COMMODITY_CODE","02")/56</f>
        <v>0</v>
      </c>
      <c r="BD13" s="61">
        <f>+GETPIVOTDATA("LBS_UPDATED",SALESCONTRACTS!$E$1,"BRANCH_NUMBER",540,"COMMODITY_CODE","02")/56</f>
        <v>1324.3392857142858</v>
      </c>
      <c r="BE13" s="61">
        <f>+GETPIVOTDATA("LBS_UPDATED",SALESCONTRACTS!$E$1,"BRANCH_NUMBER",541,"COMMODITY_CODE","02")/56</f>
        <v>0</v>
      </c>
      <c r="BF13" s="61">
        <f>+GETPIVOTDATA("LBS_UPDATED",SALESCONTRACTS!$E$1,"BRANCH_NUMBER",542,"COMMODITY_CODE","02")/56</f>
        <v>0</v>
      </c>
      <c r="BG13" s="61">
        <f>+GETPIVOTDATA("LBS_UPDATED",SALESCONTRACTS!$E$1,"BRANCH_NUMBER",543,"COMMODITY_CODE","02")/56</f>
        <v>0</v>
      </c>
      <c r="BH13" s="61">
        <f>+GETPIVOTDATA("LBS_UPDATED",SALESCONTRACTS!$E$1,"BRANCH_NUMBER",544,"COMMODITY_CODE","02")/56</f>
        <v>0</v>
      </c>
      <c r="BI13" s="61">
        <f>+GETPIVOTDATA("LBS_UPDATED",SALESCONTRACTS!$E$1,"BRANCH_NUMBER",545,"COMMODITY_CODE","02")/56</f>
        <v>0</v>
      </c>
      <c r="BJ13" s="61">
        <f>+GETPIVOTDATA("LBS_UPDATED",SALESCONTRACTS!$E$1,"BRANCH_NUMBER",546,"COMMODITY_CODE","02")/56</f>
        <v>0</v>
      </c>
      <c r="BK13" s="61">
        <f>+GETPIVOTDATA("LBS_UPDATED",SALESCONTRACTS!$E$1,"BRANCH_NUMBER",547,"COMMODITY_CODE","02")/56</f>
        <v>0</v>
      </c>
      <c r="BL13" s="61">
        <f>+GETPIVOTDATA("LBS_UPDATED",SALESCONTRACTS!$E$1,"BRANCH_NUMBER",548,"COMMODITY_CODE","02")/56</f>
        <v>0</v>
      </c>
      <c r="BM13" s="61">
        <f>+GETPIVOTDATA("LBS_UPDATED",SALESCONTRACTS!$E$1,"BRANCH_NUMBER",549,"COMMODITY_CODE","02")/56</f>
        <v>0</v>
      </c>
      <c r="BN13" s="61">
        <f>+GETPIVOTDATA("LBS_UPDATED",SALESCONTRACTS!$E$1,"BRANCH_NUMBER",550,"COMMODITY_CODE","02")/56</f>
        <v>0</v>
      </c>
      <c r="BO13" s="61">
        <f>+GETPIVOTDATA("LBS_UPDATED",SALESCONTRACTS!$E$1,"BRANCH_NUMBER",551,"COMMODITY_CODE","02")/56</f>
        <v>4132.2142857142853</v>
      </c>
      <c r="BP13" s="61">
        <f>+GETPIVOTDATA("LBS_UPDATED",SALESCONTRACTS!$E$1,"BRANCH_NUMBER",195,"COMMODITY_CODE","02")/56</f>
        <v>0</v>
      </c>
      <c r="BQ13" s="61">
        <f>+GETPIVOTDATA("LBS_UPDATED",SALESCONTRACTS!$E$1,"BRANCH_NUMBER",196,"COMMODITY_CODE","02")/56</f>
        <v>0</v>
      </c>
      <c r="BR13" s="61">
        <f>+GETPIVOTDATA("LBS_UPDATED",SALESCONTRACTS!$E$1,"BRANCH_NUMBER",198,"COMMODITY_CODE","02")/56</f>
        <v>0</v>
      </c>
      <c r="BS13" s="61">
        <f>+GETPIVOTDATA("LBS_UPDATED",SALESCONTRACTS!$E$1,"BRANCH_NUMBER",193,"COMMODITY_CODE","02")/56</f>
        <v>0</v>
      </c>
      <c r="BT13" s="61">
        <f>+GETPIVOTDATA("LBS_UPDATED",SALESCONTRACTS!$E$1,"BRANCH_NUMBER",194,"COMMODITY_CODE","02")/56</f>
        <v>0</v>
      </c>
      <c r="BU13" s="61">
        <f>+GETPIVOTDATA("LBS_UPDATED",SALESCONTRACTS!$E$1,"BRANCH_NUMBER",192,"COMMODITY_CODE","02")/56</f>
        <v>0</v>
      </c>
      <c r="BV13" s="61"/>
      <c r="BW13" s="61"/>
      <c r="BX13" s="61"/>
      <c r="BY13" s="61">
        <f>+GETPIVOTDATA("LBS_UPDATED",SALESCONTRACTS!$E$1,"BRANCH_NUMBER",1,"COMMODITY_CODE","02")/56</f>
        <v>1490000</v>
      </c>
      <c r="BZ13" s="61">
        <f t="shared" si="3"/>
        <v>1520620.4464285714</v>
      </c>
    </row>
    <row r="14" spans="1:79" x14ac:dyDescent="0.25">
      <c r="A14" s="63" t="s">
        <v>74</v>
      </c>
      <c r="B14" s="61">
        <f>+GETPIVOTDATA("LBS_UPDATED",SALESCONTRACTS!$E$1,"BRANCH_NUMBER",171,"COMMODITY_CODE","04")/56</f>
        <v>0</v>
      </c>
      <c r="C14" s="61">
        <f>+GETPIVOTDATA("LBS_UPDATED",SALESCONTRACTS!$E$1,"BRANCH_NUMBER",101,"COMMODITY_CODE","04")/56</f>
        <v>0</v>
      </c>
      <c r="D14" s="61">
        <f>+GETPIVOTDATA("LBS_UPDATED",SALESCONTRACTS!$E$1,"BRANCH_NUMBER",21,"COMMODITY_CODE","04")/56</f>
        <v>0</v>
      </c>
      <c r="E14" s="61">
        <f>+GETPIVOTDATA("LBS_UPDATED",SALESCONTRACTS!$E$1,"BRANCH_NUMBER",111,"COMMODITY_CODE","04")/56</f>
        <v>70663.928571428565</v>
      </c>
      <c r="F14" s="61">
        <f>+GETPIVOTDATA("LBS_UPDATED",SALESCONTRACTS!$E$1,"BRANCH_NUMBER",131,"COMMODITY_CODE","04")/56</f>
        <v>0</v>
      </c>
      <c r="G14" s="61">
        <f>+GETPIVOTDATA("LBS_UPDATED",SALESCONTRACTS!$E$1,"BRANCH_NUMBER",191,"COMMODITY_CODE","04")/56</f>
        <v>0</v>
      </c>
      <c r="H14" s="61">
        <f>+GETPIVOTDATA("LBS_UPDATED",SALESCONTRACTS!$E$1,"BRANCH_NUMBER",190,"COMMODITY_CODE","04")/56</f>
        <v>0</v>
      </c>
      <c r="I14" s="61">
        <f>+GETPIVOTDATA("LBS_UPDATED",SALESCONTRACTS!$E$1,"BRANCH_NUMBER",141,"COMMODITY_CODE","04")/56</f>
        <v>0</v>
      </c>
      <c r="J14" s="61">
        <f>+GETPIVOTDATA("LBS_UPDATED",SALESCONTRACTS!$E$1,"BRANCH_NUMBER",91,"COMMODITY_CODE","04")/56</f>
        <v>0</v>
      </c>
      <c r="K14" s="61">
        <f>+GETPIVOTDATA("LBS_UPDATED",SALESCONTRACTS!$E$1,"BRANCH_NUMBER",31,"COMMODITY_CODE","04")/56</f>
        <v>0</v>
      </c>
      <c r="L14" s="61"/>
      <c r="M14" s="61">
        <f>+GETPIVOTDATA("LBS_UPDATED",SALESCONTRACTS!$E$1,"BRANCH_NUMBER",71,"COMMODITY_CODE","04")/56</f>
        <v>29543.214285714286</v>
      </c>
      <c r="N14" s="61">
        <f>+GETPIVOTDATA("LBS_UPDATED",SALESCONTRACTS!$E$1,"BRANCH_NUMBER",183,"COMMODITY_CODE","04")/56</f>
        <v>0</v>
      </c>
      <c r="O14" s="61">
        <f>+GETPIVOTDATA("LBS_UPDATED",SALESCONTRACTS!$E$1,"BRANCH_NUMBER",61,"COMMODITY_CODE","04")/56</f>
        <v>-811.26785714285711</v>
      </c>
      <c r="P14" s="61">
        <f>+GETPIVOTDATA("LBS_UPDATED",SALESCONTRACTS!$E$1,"BRANCH_NUMBER",11,"COMMODITY_CODE","04")/56</f>
        <v>6648.5714285714284</v>
      </c>
      <c r="Q14" s="61">
        <f>+GETPIVOTDATA("LBS_UPDATED",SALESCONTRACTS!$E$1,"BRANCH_NUMBER",182,"COMMODITY_CODE","04")/56</f>
        <v>0</v>
      </c>
      <c r="R14" s="61">
        <f>+GETPIVOTDATA("LBS_UPDATED",SALESCONTRACTS!$E$1,"BRANCH_NUMBER",181,"COMMODITY_CODE","04")/56</f>
        <v>0</v>
      </c>
      <c r="S14" s="61">
        <f>+GETPIVOTDATA("LBS_UPDATED",SALESCONTRACTS!$E$1,"BRANCH_NUMBER",161,"COMMODITY_CODE","04")/56</f>
        <v>0</v>
      </c>
      <c r="T14" s="61">
        <f>+GETPIVOTDATA("LBS_UPDATED",SALESCONTRACTS!$E$1,"BRANCH_NUMBER",151,"COMMODITY_CODE","04")/56</f>
        <v>0</v>
      </c>
      <c r="U14" s="61">
        <f>+GETPIVOTDATA("LBS_UPDATED",SALESCONTRACTS!$E$1,"BRANCH_NUMBER",81,"COMMODITY_CODE","04")/56</f>
        <v>0</v>
      </c>
      <c r="V14" s="61">
        <f>+GETPIVOTDATA("LBS_UPDATED",SALESCONTRACTS!$E$1,"BRANCH_NUMBER",185,"COMMODITY_CODE","04")/56</f>
        <v>0</v>
      </c>
      <c r="W14" s="61">
        <f>+GETPIVOTDATA("LBS_UPDATED",SALESCONTRACTS!$E$1,"BRANCH_NUMBER",205,"COMMODITY_CODE","04")/56</f>
        <v>0</v>
      </c>
      <c r="X14" s="61">
        <f>+GETPIVOTDATA("LBS_UPDATED",SALESCONTRACTS!$E$1,"BRANCH_NUMBER",212,"COMMODITY_CODE","04")/56</f>
        <v>0</v>
      </c>
      <c r="Y14" s="61">
        <f>+GETPIVOTDATA("LBS_UPDATED",SALESCONTRACTS!$E$1,"BRANCH_NUMBER",215,"COMMODITY_CODE","04")/56</f>
        <v>0</v>
      </c>
      <c r="Z14" s="61">
        <f>+GETPIVOTDATA("LBS_UPDATED",SALESCONTRACTS!$E$1,"BRANCH_NUMBER",222,"COMMODITY_CODE","04")/56</f>
        <v>0</v>
      </c>
      <c r="AA14" s="61">
        <f>+GETPIVOTDATA("LBS_UPDATED",SALESCONTRACTS!$E$1,"BRANCH_NUMBER",242,"COMMODITY_CODE","04")/56</f>
        <v>9201.7857142857138</v>
      </c>
      <c r="AB14" s="61">
        <f>+GETPIVOTDATA("LBS_UPDATED",SALESCONTRACTS!$E$1,"BRANCH_NUMBER",245,"COMMODITY_CODE","04")/56</f>
        <v>0</v>
      </c>
      <c r="AC14" s="61">
        <f>+GETPIVOTDATA("LBS_UPDATED",SALESCONTRACTS!$E$1,"BRANCH_NUMBER",252,"COMMODITY_CODE","04")/56</f>
        <v>0</v>
      </c>
      <c r="AD14" s="61">
        <f>+GETPIVOTDATA("LBS_UPDATED",SALESCONTRACTS!$E$1,"BRANCH_NUMBER",262,"COMMODITY_CODE","04")/56</f>
        <v>0</v>
      </c>
      <c r="AE14" s="61">
        <f>+GETPIVOTDATA("LBS_UPDATED",SALESCONTRACTS!$E$1,"BRANCH_NUMBER",272,"COMMODITY_CODE","04")/56</f>
        <v>300</v>
      </c>
      <c r="AF14" s="61">
        <f>+GETPIVOTDATA("LBS_UPDATED",SALESCONTRACTS!$E$1,"BRANCH_NUMBER",292,"COMMODITY_CODE","04")/56</f>
        <v>25410.357142857141</v>
      </c>
      <c r="AG14" s="61">
        <f>+GETPIVOTDATA("LBS_UPDATED",SALESCONTRACTS!$E$1,"BRANCH_NUMBER",291,"COMMODITY_CODE","04")/56</f>
        <v>0</v>
      </c>
      <c r="AH14" s="61">
        <f>+GETPIVOTDATA("LBS_UPDATED",SALESCONTRACTS!$E$1,"BRANCH_NUMBER",187,"COMMODITY_CODE","04")/56</f>
        <v>0</v>
      </c>
      <c r="AI14" s="61"/>
      <c r="AJ14" s="61">
        <f>+GETPIVOTDATA("LBS_UPDATED",SALESCONTRACTS!$E$1,"BRANCH_NUMBER",295,"COMMODITY_CODE","04")/56</f>
        <v>0</v>
      </c>
      <c r="AK14" s="61">
        <f>+GETPIVOTDATA("LBS_UPDATED",SALESCONTRACTS!$E$1,"BRANCH_NUMBER",294,"COMMODITY_CODE","04")/56</f>
        <v>621.07142857142856</v>
      </c>
      <c r="AL14" s="61">
        <f>+GETPIVOTDATA("LBS_UPDATED",SALESCONTRACTS!$E$1,"BRANCH_NUMBER",296,"COMMODITY_CODE","04")/56</f>
        <v>0</v>
      </c>
      <c r="AM14" s="61">
        <f>+GETPIVOTDATA("LBS_UPDATED",SALESCONTRACTS!$E$1,"BRANCH_NUMBER",293,"COMMODITY_CODE","04")/56</f>
        <v>6687.5357142857147</v>
      </c>
      <c r="AN14" s="61">
        <f>+GETPIVOTDATA("LBS_UPDATED",SALESCONTRACTS!$E$1,"BRANCH_NUMBER",560,"COMMODITY_CODE","04")/56</f>
        <v>1720000</v>
      </c>
      <c r="AO14" s="61">
        <f>+GETPIVOTDATA("LBS_UPDATED",SALESCONTRACTS!$E$1,"BRANCH_NUMBER",561,"COMMODITY_CODE","04")/56</f>
        <v>0</v>
      </c>
      <c r="AP14" s="61">
        <f>+GETPIVOTDATA("LBS_UPDATED",SALESCONTRACTS!$E$1,"BRANCH_NUMBER",311,"COMMODITY_CODE","04")/56</f>
        <v>3627.8571428571427</v>
      </c>
      <c r="AQ14" s="61">
        <f>+GETPIVOTDATA("LBS_UPDATED",SALESCONTRACTS!$E$1,"BRANCH_NUMBER",315,"COMMODITY_CODE","04")/56</f>
        <v>0</v>
      </c>
      <c r="AR14" s="61">
        <f>+GETPIVOTDATA("LBS_UPDATED",SALESCONTRACTS!$E$1,"BRANCH_NUMBER",331,"COMMODITY_CODE","04")/56</f>
        <v>0</v>
      </c>
      <c r="AS14" s="61">
        <f>+GETPIVOTDATA("LBS_UPDATED",SALESCONTRACTS!$E$1,"BRANCH_NUMBER",341,"COMMODITY_CODE","04")/56</f>
        <v>5239.6428571428569</v>
      </c>
      <c r="AT14" s="61">
        <f>+GETPIVOTDATA("LBS_UPDATED",SALESCONTRACTS!$E$1,"BRANCH_NUMBER",351,"COMMODITY_CODE","04")/56</f>
        <v>0</v>
      </c>
      <c r="AU14" s="61">
        <f>+GETPIVOTDATA("LBS_UPDATED",SALESCONTRACTS!$E$1,"BRANCH_NUMBER",361,"COMMODITY_CODE","04")/56</f>
        <v>0</v>
      </c>
      <c r="AV14" s="61">
        <f>(+GETPIVOTDATA("LBS_UPDATED",SALESCONTRACTS!$E$1,"BRANCH_NUMBER",432,"COMMODITY_CODE","04")+GETPIVOTDATA("LBS_UPDATED",SALESCONTRACTS!$E$1,"BRANCH_NUMBER",433,"COMMODITY_CODE","04"))/56</f>
        <v>5045.8928571428569</v>
      </c>
      <c r="AW14" s="61">
        <f>+GETPIVOTDATA("LBS_UPDATED",SALESCONTRACTS!$E$1,"BRANCH_NUMBER",442,"COMMODITY_CODE","04")/56</f>
        <v>847.42857142857144</v>
      </c>
      <c r="AX14" s="61">
        <f>+GETPIVOTDATA("LBS_UPDATED",SALESCONTRACTS!$E$1,"BRANCH_NUMBER",443,"COMMODITY_CODE","04")/56</f>
        <v>0</v>
      </c>
      <c r="AY14" s="61">
        <f>+GETPIVOTDATA("LBS_UPDATED",SALESCONTRACTS!$E$1,"BRANCH_NUMBER",445,"COMMODITY_CODE","04")/56</f>
        <v>0</v>
      </c>
      <c r="AZ14" s="61">
        <f>+GETPIVOTDATA("LBS_UPDATED",SALESCONTRACTS!$E$1,"BRANCH_NUMBER",447,"COMMODITY_CODE","04")/56</f>
        <v>6524.6071428571431</v>
      </c>
      <c r="BA14" s="61">
        <f>+GETPIVOTDATA("LBS_UPDATED",SALESCONTRACTS!$E$1,"BRANCH_NUMBER",510,"COMMODITY_CODE","04")/56</f>
        <v>0</v>
      </c>
      <c r="BB14" s="61">
        <f>+GETPIVOTDATA("LBS_UPDATED",SALESCONTRACTS!$E$1,"BRANCH_NUMBER",520,"COMMODITY_CODE","04")/56</f>
        <v>0</v>
      </c>
      <c r="BC14" s="61">
        <f>+GETPIVOTDATA("LBS_UPDATED",SALESCONTRACTS!$E$1,"BRANCH_NUMBER",530,"COMMODITY_CODE","04")/56</f>
        <v>0</v>
      </c>
      <c r="BD14" s="61">
        <f>+GETPIVOTDATA("LBS_UPDATED",SALESCONTRACTS!$E$1,"BRANCH_NUMBER",540,"COMMODITY_CODE","04")/56</f>
        <v>0</v>
      </c>
      <c r="BE14" s="61">
        <f>+GETPIVOTDATA("LBS_UPDATED",SALESCONTRACTS!$E$1,"BRANCH_NUMBER",541,"COMMODITY_CODE","04")/56</f>
        <v>967.5</v>
      </c>
      <c r="BF14" s="61">
        <f>+GETPIVOTDATA("LBS_UPDATED",SALESCONTRACTS!$E$1,"BRANCH_NUMBER",542,"COMMODITY_CODE","04")/56</f>
        <v>0</v>
      </c>
      <c r="BG14" s="61">
        <f>+GETPIVOTDATA("LBS_UPDATED",SALESCONTRACTS!$E$1,"BRANCH_NUMBER",543,"COMMODITY_CODE","04")/56</f>
        <v>0</v>
      </c>
      <c r="BH14" s="61">
        <f>+GETPIVOTDATA("LBS_UPDATED",SALESCONTRACTS!$E$1,"BRANCH_NUMBER",544,"COMMODITY_CODE","04")/56</f>
        <v>0</v>
      </c>
      <c r="BI14" s="61">
        <f>+GETPIVOTDATA("LBS_UPDATED",SALESCONTRACTS!$E$1,"BRANCH_NUMBER",545,"COMMODITY_CODE","04")/56</f>
        <v>20.714285714285715</v>
      </c>
      <c r="BJ14" s="61">
        <f>+GETPIVOTDATA("LBS_UPDATED",SALESCONTRACTS!$E$1,"BRANCH_NUMBER",546,"COMMODITY_CODE","04")/56</f>
        <v>0</v>
      </c>
      <c r="BK14" s="61">
        <f>+GETPIVOTDATA("LBS_UPDATED",SALESCONTRACTS!$E$1,"BRANCH_NUMBER",547,"COMMODITY_CODE","04")/56</f>
        <v>783.21428571428567</v>
      </c>
      <c r="BL14" s="61">
        <f>+GETPIVOTDATA("LBS_UPDATED",SALESCONTRACTS!$E$1,"BRANCH_NUMBER",548,"COMMODITY_CODE","04")/56</f>
        <v>10.821428571428571</v>
      </c>
      <c r="BM14" s="61">
        <f>+GETPIVOTDATA("LBS_UPDATED",SALESCONTRACTS!$E$1,"BRANCH_NUMBER",549,"COMMODITY_CODE","04")/56</f>
        <v>0</v>
      </c>
      <c r="BN14" s="61">
        <f>+GETPIVOTDATA("LBS_UPDATED",SALESCONTRACTS!$E$1,"BRANCH_NUMBER",550,"COMMODITY_CODE","04")/56</f>
        <v>0</v>
      </c>
      <c r="BO14" s="61">
        <f>+GETPIVOTDATA("LBS_UPDATED",SALESCONTRACTS!$E$1,"BRANCH_NUMBER",551,"COMMODITY_CODE","04")/56</f>
        <v>3426.125</v>
      </c>
      <c r="BP14" s="61">
        <f>+GETPIVOTDATA("LBS_UPDATED",SALESCONTRACTS!$E$1,"BRANCH_NUMBER",195,"COMMODITY_CODE","04")/56</f>
        <v>0</v>
      </c>
      <c r="BQ14" s="61">
        <f>+GETPIVOTDATA("LBS_UPDATED",SALESCONTRACTS!$E$1,"BRANCH_NUMBER",196,"COMMODITY_CODE","04")/56</f>
        <v>0</v>
      </c>
      <c r="BR14" s="61">
        <f>+GETPIVOTDATA("LBS_UPDATED",SALESCONTRACTS!$E$1,"BRANCH_NUMBER",198,"COMMODITY_CODE","04")/56</f>
        <v>0</v>
      </c>
      <c r="BS14" s="61">
        <f>+GETPIVOTDATA("LBS_UPDATED",SALESCONTRACTS!$E$1,"BRANCH_NUMBER",193,"COMMODITY_CODE","04")/56</f>
        <v>60</v>
      </c>
      <c r="BT14" s="61">
        <f>+GETPIVOTDATA("LBS_UPDATED",SALESCONTRACTS!$E$1,"BRANCH_NUMBER",194,"COMMODITY_CODE","04")/56</f>
        <v>0</v>
      </c>
      <c r="BU14" s="61">
        <f>+GETPIVOTDATA("LBS_UPDATED",SALESCONTRACTS!$E$1,"BRANCH_NUMBER",192,"COMMODITY_CODE","04")/56</f>
        <v>0</v>
      </c>
      <c r="BV14" s="61"/>
      <c r="BW14" s="61"/>
      <c r="BX14" s="61"/>
      <c r="BY14" s="61">
        <f>+GETPIVOTDATA("LBS_UPDATED",SALESCONTRACTS!$E$1,"BRANCH_NUMBER",1,"COMMODITY_CODE","04")/56</f>
        <v>2603150</v>
      </c>
      <c r="BZ14" s="61">
        <f t="shared" si="3"/>
        <v>4497969</v>
      </c>
    </row>
    <row r="15" spans="1:79" x14ac:dyDescent="0.25">
      <c r="A15" s="63" t="s">
        <v>73</v>
      </c>
      <c r="B15" s="61">
        <f>+GETPIVOTDATA("LBS_UPDATED",SALESCONTRACTS!$E$1,"BRANCH_NUMBER",171,"COMMODITY_CODE","03")/60</f>
        <v>0</v>
      </c>
      <c r="C15" s="61">
        <f>+GETPIVOTDATA("LBS_UPDATED",SALESCONTRACTS!$E$1,"BRANCH_NUMBER",101,"COMMODITY_CODE","03")/60</f>
        <v>0</v>
      </c>
      <c r="D15" s="61">
        <f>+GETPIVOTDATA("LBS_UPDATED",SALESCONTRACTS!$E$1,"BRANCH_NUMBER",21,"COMMODITY_CODE","03")/60</f>
        <v>0</v>
      </c>
      <c r="E15" s="61">
        <f>+GETPIVOTDATA("LBS_UPDATED",SALESCONTRACTS!$E$1,"BRANCH_NUMBER",111,"COMMODITY_CODE","03")/60</f>
        <v>0</v>
      </c>
      <c r="F15" s="61">
        <f>+GETPIVOTDATA("LBS_UPDATED",SALESCONTRACTS!$E$1,"BRANCH_NUMBER",131,"COMMODITY_CODE","03")/60</f>
        <v>0</v>
      </c>
      <c r="G15" s="61">
        <f>+GETPIVOTDATA("LBS_UPDATED",SALESCONTRACTS!$E$1,"BRANCH_NUMBER",191,"COMMODITY_CODE","03")/60</f>
        <v>0</v>
      </c>
      <c r="H15" s="61">
        <f>+GETPIVOTDATA("LBS_UPDATED",SALESCONTRACTS!$E$1,"BRANCH_NUMBER",190,"COMMODITY_CODE","03")/60</f>
        <v>0</v>
      </c>
      <c r="I15" s="61">
        <f>+GETPIVOTDATA("LBS_UPDATED",SALESCONTRACTS!$E$1,"BRANCH_NUMBER",141,"COMMODITY_CODE","03")/60</f>
        <v>0</v>
      </c>
      <c r="J15" s="61">
        <f>+GETPIVOTDATA("LBS_UPDATED",SALESCONTRACTS!$E$1,"BRANCH_NUMBER",91,"COMMODITY_CODE","03")/60</f>
        <v>0</v>
      </c>
      <c r="K15" s="61">
        <f>+GETPIVOTDATA("LBS_UPDATED",SALESCONTRACTS!$E$1,"BRANCH_NUMBER",31,"COMMODITY_CODE","03")/60</f>
        <v>0</v>
      </c>
      <c r="L15" s="61"/>
      <c r="M15" s="61">
        <f>+GETPIVOTDATA("LBS_UPDATED",SALESCONTRACTS!$E$1,"BRANCH_NUMBER",71,"COMMODITY_CODE","03")/60</f>
        <v>0</v>
      </c>
      <c r="N15" s="61">
        <f>+GETPIVOTDATA("LBS_UPDATED",SALESCONTRACTS!$E$1,"BRANCH_NUMBER",183,"COMMODITY_CODE","03")/60</f>
        <v>0</v>
      </c>
      <c r="O15" s="61">
        <f>+GETPIVOTDATA("LBS_UPDATED",SALESCONTRACTS!$E$1,"BRANCH_NUMBER",61,"COMMODITY_CODE","03")/60</f>
        <v>0</v>
      </c>
      <c r="P15" s="61">
        <f>+GETPIVOTDATA("LBS_UPDATED",SALESCONTRACTS!$E$1,"BRANCH_NUMBER",11,"COMMODITY_CODE","03")/60</f>
        <v>0</v>
      </c>
      <c r="Q15" s="61">
        <f>+GETPIVOTDATA("LBS_UPDATED",SALESCONTRACTS!$E$1,"BRANCH_NUMBER",182,"COMMODITY_CODE","03")/60</f>
        <v>0</v>
      </c>
      <c r="R15" s="61">
        <f>+GETPIVOTDATA("LBS_UPDATED",SALESCONTRACTS!$E$1,"BRANCH_NUMBER",181,"COMMODITY_CODE","03")/60</f>
        <v>0</v>
      </c>
      <c r="S15" s="61">
        <f>+GETPIVOTDATA("LBS_UPDATED",SALESCONTRACTS!$E$1,"BRANCH_NUMBER",161,"COMMODITY_CODE","03")/60</f>
        <v>0</v>
      </c>
      <c r="T15" s="61">
        <f>+GETPIVOTDATA("LBS_UPDATED",SALESCONTRACTS!$E$1,"BRANCH_NUMBER",151,"COMMODITY_CODE","03")/60</f>
        <v>0</v>
      </c>
      <c r="U15" s="61">
        <f>+GETPIVOTDATA("LBS_UPDATED",SALESCONTRACTS!$E$1,"BRANCH_NUMBER",81,"COMMODITY_CODE","03")/60</f>
        <v>0</v>
      </c>
      <c r="V15" s="61">
        <f>+GETPIVOTDATA("LBS_UPDATED",SALESCONTRACTS!$E$1,"BRANCH_NUMBER",185,"COMMODITY_CODE","03")/60</f>
        <v>0</v>
      </c>
      <c r="W15" s="61">
        <f>+GETPIVOTDATA("LBS_UPDATED",SALESCONTRACTS!$E$1,"BRANCH_NUMBER",205,"COMMODITY_CODE","03")/60</f>
        <v>0</v>
      </c>
      <c r="X15" s="61">
        <f>+GETPIVOTDATA("LBS_UPDATED",SALESCONTRACTS!$E$1,"BRANCH_NUMBER",212,"COMMODITY_CODE","03")/60</f>
        <v>276</v>
      </c>
      <c r="Y15" s="61">
        <f>+GETPIVOTDATA("LBS_UPDATED",SALESCONTRACTS!$E$1,"BRANCH_NUMBER",215,"COMMODITY_CODE","03")/60</f>
        <v>0</v>
      </c>
      <c r="Z15" s="61">
        <f>+GETPIVOTDATA("LBS_UPDATED",SALESCONTRACTS!$E$1,"BRANCH_NUMBER",222,"COMMODITY_CODE","03")/60</f>
        <v>41591.283333333333</v>
      </c>
      <c r="AA15" s="61">
        <f>+GETPIVOTDATA("LBS_UPDATED",SALESCONTRACTS!$E$1,"BRANCH_NUMBER",242,"COMMODITY_CODE","03")/60</f>
        <v>0</v>
      </c>
      <c r="AB15" s="61">
        <f>+GETPIVOTDATA("LBS_UPDATED",SALESCONTRACTS!$E$1,"BRANCH_NUMBER",245,"COMMODITY_CODE","03")/60</f>
        <v>0</v>
      </c>
      <c r="AC15" s="61">
        <f>+GETPIVOTDATA("LBS_UPDATED",SALESCONTRACTS!$E$1,"BRANCH_NUMBER",252,"COMMODITY_CODE","03")/60</f>
        <v>0</v>
      </c>
      <c r="AD15" s="61">
        <f>+GETPIVOTDATA("LBS_UPDATED",SALESCONTRACTS!$E$1,"BRANCH_NUMBER",262,"COMMODITY_CODE","03")/60</f>
        <v>1183.8499999999999</v>
      </c>
      <c r="AE15" s="61">
        <f>+GETPIVOTDATA("LBS_UPDATED",SALESCONTRACTS!$E$1,"BRANCH_NUMBER",272,"COMMODITY_CODE","03")/60</f>
        <v>4840.916666666667</v>
      </c>
      <c r="AF15" s="61">
        <f>+GETPIVOTDATA("LBS_UPDATED",SALESCONTRACTS!$E$1,"BRANCH_NUMBER",292,"COMMODITY_CODE","03")/60</f>
        <v>1.6666666666666666E-2</v>
      </c>
      <c r="AG15" s="61">
        <f>+GETPIVOTDATA("LBS_UPDATED",SALESCONTRACTS!$E$1,"BRANCH_NUMBER",291,"COMMODITY_CODE","03")/60</f>
        <v>0</v>
      </c>
      <c r="AH15" s="61">
        <f>+GETPIVOTDATA("LBS_UPDATED",SALESCONTRACTS!$E$1,"BRANCH_NUMBER",187,"COMMODITY_CODE","03")/60</f>
        <v>0</v>
      </c>
      <c r="AI15" s="61"/>
      <c r="AJ15" s="61">
        <f>+GETPIVOTDATA("LBS_UPDATED",SALESCONTRACTS!$E$1,"BRANCH_NUMBER",295,"COMMODITY_CODE","03")/60</f>
        <v>0</v>
      </c>
      <c r="AK15" s="61">
        <f>+GETPIVOTDATA("LBS_UPDATED",SALESCONTRACTS!$E$1,"BRANCH_NUMBER",294,"COMMODITY_CODE","03")/60</f>
        <v>0</v>
      </c>
      <c r="AL15" s="61">
        <f>+GETPIVOTDATA("LBS_UPDATED",SALESCONTRACTS!$E$1,"BRANCH_NUMBER",296,"COMMODITY_CODE","03")/60</f>
        <v>0</v>
      </c>
      <c r="AM15" s="61">
        <f>+GETPIVOTDATA("LBS_UPDATED",SALESCONTRACTS!$E$1,"BRANCH_NUMBER",293,"COMMODITY_CODE","03")/60</f>
        <v>0</v>
      </c>
      <c r="AN15" s="61">
        <f>+GETPIVOTDATA("LBS_UPDATED",SALESCONTRACTS!$E$1,"BRANCH_NUMBER",560,"COMMODITY_CODE","03")/60</f>
        <v>0</v>
      </c>
      <c r="AO15" s="61">
        <f>+GETPIVOTDATA("LBS_UPDATED",SALESCONTRACTS!$E$1,"BRANCH_NUMBER",561,"COMMODITY_CODE","03")/60</f>
        <v>0</v>
      </c>
      <c r="AP15" s="61">
        <f>+GETPIVOTDATA("LBS_UPDATED",SALESCONTRACTS!$E$1,"BRANCH_NUMBER",311,"COMMODITY_CODE","03")/60</f>
        <v>319.36666666666667</v>
      </c>
      <c r="AQ15" s="61">
        <f>+GETPIVOTDATA("LBS_UPDATED",SALESCONTRACTS!$E$1,"BRANCH_NUMBER",315,"COMMODITY_CODE","03")/60</f>
        <v>0</v>
      </c>
      <c r="AR15" s="61">
        <f>+GETPIVOTDATA("LBS_UPDATED",SALESCONTRACTS!$E$1,"BRANCH_NUMBER",331,"COMMODITY_CODE","03")/60</f>
        <v>0</v>
      </c>
      <c r="AS15" s="61">
        <f>+GETPIVOTDATA("LBS_UPDATED",SALESCONTRACTS!$E$1,"BRANCH_NUMBER",341,"COMMODITY_CODE","03")/60</f>
        <v>21481.733333333334</v>
      </c>
      <c r="AT15" s="61">
        <f>+GETPIVOTDATA("LBS_UPDATED",SALESCONTRACTS!$E$1,"BRANCH_NUMBER",351,"COMMODITY_CODE","03")/60</f>
        <v>0</v>
      </c>
      <c r="AU15" s="61">
        <f>+GETPIVOTDATA("LBS_UPDATED",SALESCONTRACTS!$E$1,"BRANCH_NUMBER",361,"COMMODITY_CODE","03")/60</f>
        <v>0</v>
      </c>
      <c r="AV15" s="61">
        <f>(+GETPIVOTDATA("LBS_UPDATED",SALESCONTRACTS!$E$1,"BRANCH_NUMBER",432,"COMMODITY_CODE","03")+GETPIVOTDATA("LBS_UPDATED",SALESCONTRACTS!$E$1,"BRANCH_NUMBER",433,"COMMODITY_CODE","03"))/60</f>
        <v>0</v>
      </c>
      <c r="AW15" s="61">
        <f>+GETPIVOTDATA("LBS_UPDATED",SALESCONTRACTS!$E$1,"BRANCH_NUMBER",442,"COMMODITY_CODE","03")/60</f>
        <v>0</v>
      </c>
      <c r="AX15" s="61">
        <f>+GETPIVOTDATA("LBS_UPDATED",SALESCONTRACTS!$E$1,"BRANCH_NUMBER",443,"COMMODITY_CODE","03")/60</f>
        <v>0</v>
      </c>
      <c r="AY15" s="61">
        <f>+GETPIVOTDATA("LBS_UPDATED",SALESCONTRACTS!$E$1,"BRANCH_NUMBER",445,"COMMODITY_CODE","03")/60</f>
        <v>0</v>
      </c>
      <c r="AZ15" s="61">
        <f>+GETPIVOTDATA("LBS_UPDATED",SALESCONTRACTS!$E$1,"BRANCH_NUMBER",447,"COMMODITY_CODE","03")/60</f>
        <v>0</v>
      </c>
      <c r="BA15" s="61">
        <f>+GETPIVOTDATA("LBS_UPDATED",SALESCONTRACTS!$E$1,"BRANCH_NUMBER",510,"COMMODITY_CODE","03")/60</f>
        <v>0</v>
      </c>
      <c r="BB15" s="61">
        <f>+GETPIVOTDATA("LBS_UPDATED",SALESCONTRACTS!$E$1,"BRANCH_NUMBER",520,"COMMODITY_CODE","03")/60</f>
        <v>0</v>
      </c>
      <c r="BC15" s="61">
        <f>+GETPIVOTDATA("LBS_UPDATED",SALESCONTRACTS!$E$1,"BRANCH_NUMBER",530,"COMMODITY_CODE","03")/60</f>
        <v>0</v>
      </c>
      <c r="BD15" s="61">
        <f>+GETPIVOTDATA("LBS_UPDATED",SALESCONTRACTS!$E$1,"BRANCH_NUMBER",540,"COMMODITY_CODE","03")/60</f>
        <v>0</v>
      </c>
      <c r="BE15" s="61">
        <f>+GETPIVOTDATA("LBS_UPDATED",SALESCONTRACTS!$E$1,"BRANCH_NUMBER",541,"COMMODITY_CODE","03")/60</f>
        <v>0</v>
      </c>
      <c r="BF15" s="61">
        <f>+GETPIVOTDATA("LBS_UPDATED",SALESCONTRACTS!$E$1,"BRANCH_NUMBER",542,"COMMODITY_CODE","03")/60</f>
        <v>0</v>
      </c>
      <c r="BG15" s="61">
        <f>+GETPIVOTDATA("LBS_UPDATED",SALESCONTRACTS!$E$1,"BRANCH_NUMBER",543,"COMMODITY_CODE","03")/60</f>
        <v>0</v>
      </c>
      <c r="BH15" s="61">
        <f>+GETPIVOTDATA("LBS_UPDATED",SALESCONTRACTS!$E$1,"BRANCH_NUMBER",544,"COMMODITY_CODE","03")/60</f>
        <v>0</v>
      </c>
      <c r="BI15" s="61">
        <f>+GETPIVOTDATA("LBS_UPDATED",SALESCONTRACTS!$E$1,"BRANCH_NUMBER",545,"COMMODITY_CODE","03")/60</f>
        <v>0</v>
      </c>
      <c r="BJ15" s="61">
        <f>+GETPIVOTDATA("LBS_UPDATED",SALESCONTRACTS!$E$1,"BRANCH_NUMBER",546,"COMMODITY_CODE","03")/60</f>
        <v>0</v>
      </c>
      <c r="BK15" s="61">
        <f>+GETPIVOTDATA("LBS_UPDATED",SALESCONTRACTS!$E$1,"BRANCH_NUMBER",547,"COMMODITY_CODE","03")/60</f>
        <v>3126.95</v>
      </c>
      <c r="BL15" s="61">
        <f>+GETPIVOTDATA("LBS_UPDATED",SALESCONTRACTS!$E$1,"BRANCH_NUMBER",548,"COMMODITY_CODE","03")/60</f>
        <v>117.16666666666667</v>
      </c>
      <c r="BM15" s="61">
        <f>+GETPIVOTDATA("LBS_UPDATED",SALESCONTRACTS!$E$1,"BRANCH_NUMBER",549,"COMMODITY_CODE","03")/60</f>
        <v>0</v>
      </c>
      <c r="BN15" s="61">
        <f>+GETPIVOTDATA("LBS_UPDATED",SALESCONTRACTS!$E$1,"BRANCH_NUMBER",550,"COMMODITY_CODE","03")/60</f>
        <v>0</v>
      </c>
      <c r="BO15" s="61">
        <f>+GETPIVOTDATA("LBS_UPDATED",SALESCONTRACTS!$E$1,"BRANCH_NUMBER",551,"COMMODITY_CODE","03")/60</f>
        <v>2959.0666666666666</v>
      </c>
      <c r="BP15" s="61">
        <f>+GETPIVOTDATA("LBS_UPDATED",SALESCONTRACTS!$E$1,"BRANCH_NUMBER",195,"COMMODITY_CODE","03")/60</f>
        <v>0</v>
      </c>
      <c r="BQ15" s="61">
        <f>+GETPIVOTDATA("LBS_UPDATED",SALESCONTRACTS!$E$1,"BRANCH_NUMBER",196,"COMMODITY_CODE","03")/60</f>
        <v>0</v>
      </c>
      <c r="BR15" s="61">
        <f>+GETPIVOTDATA("LBS_UPDATED",SALESCONTRACTS!$E$1,"BRANCH_NUMBER",198,"COMMODITY_CODE","03")/60</f>
        <v>0</v>
      </c>
      <c r="BS15" s="61">
        <f>+GETPIVOTDATA("LBS_UPDATED",SALESCONTRACTS!$E$1,"BRANCH_NUMBER",193,"COMMODITY_CODE","03")/60</f>
        <v>868.76666666666665</v>
      </c>
      <c r="BT15" s="61">
        <f>+GETPIVOTDATA("LBS_UPDATED",SALESCONTRACTS!$E$1,"BRANCH_NUMBER",194,"COMMODITY_CODE","03")/60</f>
        <v>0</v>
      </c>
      <c r="BU15" s="61">
        <f>+GETPIVOTDATA("LBS_UPDATED",SALESCONTRACTS!$E$1,"BRANCH_NUMBER",192,"COMMODITY_CODE","03")/60</f>
        <v>0</v>
      </c>
      <c r="BV15" s="61"/>
      <c r="BW15" s="61"/>
      <c r="BX15" s="61"/>
      <c r="BY15" s="61">
        <f>+GETPIVOTDATA("LBS_UPDATED",SALESCONTRACTS!$E$1,"BRANCH_NUMBER",1,"COMMODITY_CODE","03")/60</f>
        <v>994975.41666666663</v>
      </c>
      <c r="BZ15" s="61">
        <f t="shared" si="3"/>
        <v>1071740.5333333332</v>
      </c>
    </row>
    <row r="16" spans="1:79" x14ac:dyDescent="0.25">
      <c r="A16" s="63" t="s">
        <v>80</v>
      </c>
      <c r="B16" s="61">
        <f>+GETPIVOTDATA("LBS_UPDATED",SALESCONTRACTS!$E$1,"BRANCH_NUMBER",171,"COMMODITY_CODE","22")/25</f>
        <v>0</v>
      </c>
      <c r="C16" s="61">
        <f>+GETPIVOTDATA("LBS_UPDATED",SALESCONTRACTS!$E$1,"BRANCH_NUMBER",101,"COMMODITY_CODE","22")/25</f>
        <v>0</v>
      </c>
      <c r="D16" s="61">
        <f>+GETPIVOTDATA("LBS_UPDATED",SALESCONTRACTS!$E$1,"BRANCH_NUMBER",21,"COMMODITY_CODE","22")/25</f>
        <v>0</v>
      </c>
      <c r="E16" s="61">
        <f>+GETPIVOTDATA("LBS_UPDATED",SALESCONTRACTS!$E$1,"BRANCH_NUMBER",111,"COMMODITY_CODE","22")/25</f>
        <v>0</v>
      </c>
      <c r="F16" s="61">
        <f>+GETPIVOTDATA("LBS_UPDATED",SALESCONTRACTS!$E$1,"BRANCH_NUMBER",131,"COMMODITY_CODE","22")/25</f>
        <v>0</v>
      </c>
      <c r="G16" s="61">
        <f>+GETPIVOTDATA("LBS_UPDATED",SALESCONTRACTS!$E$1,"BRANCH_NUMBER",191,"COMMODITY_CODE","22")/25</f>
        <v>0</v>
      </c>
      <c r="H16" s="61">
        <f>+GETPIVOTDATA("LBS_UPDATED",SALESCONTRACTS!$E$1,"BRANCH_NUMBER",190,"COMMODITY_CODE","22")/25</f>
        <v>0</v>
      </c>
      <c r="I16" s="61">
        <f>+GETPIVOTDATA("LBS_UPDATED",SALESCONTRACTS!$E$1,"BRANCH_NUMBER",141,"COMMODITY_CODE","22")/25</f>
        <v>0</v>
      </c>
      <c r="J16" s="61">
        <f>+GETPIVOTDATA("LBS_UPDATED",SALESCONTRACTS!$E$1,"BRANCH_NUMBER",91,"COMMODITY_CODE","22")/25</f>
        <v>0</v>
      </c>
      <c r="K16" s="61">
        <f>+GETPIVOTDATA("LBS_UPDATED",SALESCONTRACTS!$E$1,"BRANCH_NUMBER",31,"COMMODITY_CODE","22")/25</f>
        <v>0</v>
      </c>
      <c r="L16" s="61"/>
      <c r="M16" s="61">
        <f>+GETPIVOTDATA("LBS_UPDATED",SALESCONTRACTS!$E$1,"BRANCH_NUMBER",71,"COMMODITY_CODE","22")/25</f>
        <v>0</v>
      </c>
      <c r="N16" s="61">
        <f>+GETPIVOTDATA("LBS_UPDATED",SALESCONTRACTS!$E$1,"BRANCH_NUMBER",183,"COMMODITY_CODE","22")/25</f>
        <v>0</v>
      </c>
      <c r="O16" s="61">
        <f>+GETPIVOTDATA("LBS_UPDATED",SALESCONTRACTS!$E$1,"BRANCH_NUMBER",61,"COMMODITY_CODE","22")/25</f>
        <v>2743.28</v>
      </c>
      <c r="P16" s="61">
        <f>+GETPIVOTDATA("LBS_UPDATED",SALESCONTRACTS!$E$1,"BRANCH_NUMBER",11,"COMMODITY_CODE","22")/25</f>
        <v>0</v>
      </c>
      <c r="Q16" s="61">
        <f>+GETPIVOTDATA("LBS_UPDATED",SALESCONTRACTS!$E$1,"BRANCH_NUMBER",182,"COMMODITY_CODE","22")/25</f>
        <v>0</v>
      </c>
      <c r="R16" s="61">
        <f>+GETPIVOTDATA("LBS_UPDATED",SALESCONTRACTS!$E$1,"BRANCH_NUMBER",181,"COMMODITY_CODE","22")/25</f>
        <v>0</v>
      </c>
      <c r="S16" s="61">
        <f>+GETPIVOTDATA("LBS_UPDATED",SALESCONTRACTS!$E$1,"BRANCH_NUMBER",161,"COMMODITY_CODE","22")/25</f>
        <v>0</v>
      </c>
      <c r="T16" s="61">
        <f>+GETPIVOTDATA("LBS_UPDATED",SALESCONTRACTS!$E$1,"BRANCH_NUMBER",151,"COMMODITY_CODE","22")/25</f>
        <v>0</v>
      </c>
      <c r="U16" s="61">
        <f>+GETPIVOTDATA("LBS_UPDATED",SALESCONTRACTS!$E$1,"BRANCH_NUMBER",81,"COMMODITY_CODE","22")/25</f>
        <v>0</v>
      </c>
      <c r="V16" s="61">
        <f>+GETPIVOTDATA("LBS_UPDATED",SALESCONTRACTS!$E$1,"BRANCH_NUMBER",185,"COMMODITY_CODE","22")/25</f>
        <v>0</v>
      </c>
      <c r="W16" s="61">
        <f>+GETPIVOTDATA("LBS_UPDATED",SALESCONTRACTS!$E$1,"BRANCH_NUMBER",205,"COMMODITY_CODE","22")/25</f>
        <v>0</v>
      </c>
      <c r="X16" s="61">
        <f>+GETPIVOTDATA("LBS_UPDATED",SALESCONTRACTS!$E$1,"BRANCH_NUMBER",212,"COMMODITY_CODE","22")/25</f>
        <v>0</v>
      </c>
      <c r="Y16" s="61">
        <f>+GETPIVOTDATA("LBS_UPDATED",SALESCONTRACTS!$E$1,"BRANCH_NUMBER",215,"COMMODITY_CODE","22")/25</f>
        <v>0</v>
      </c>
      <c r="Z16" s="61">
        <f>+GETPIVOTDATA("LBS_UPDATED",SALESCONTRACTS!$E$1,"BRANCH_NUMBER",222,"COMMODITY_CODE","22")/25</f>
        <v>0</v>
      </c>
      <c r="AA16" s="61">
        <f>+GETPIVOTDATA("LBS_UPDATED",SALESCONTRACTS!$E$1,"BRANCH_NUMBER",242,"COMMODITY_CODE","22")/25</f>
        <v>0</v>
      </c>
      <c r="AB16" s="61">
        <f>+GETPIVOTDATA("LBS_UPDATED",SALESCONTRACTS!$E$1,"BRANCH_NUMBER",245,"COMMODITY_CODE","22")/25</f>
        <v>0</v>
      </c>
      <c r="AC16" s="61">
        <f>+GETPIVOTDATA("LBS_UPDATED",SALESCONTRACTS!$E$1,"BRANCH_NUMBER",252,"COMMODITY_CODE","22")/25</f>
        <v>0</v>
      </c>
      <c r="AD16" s="61">
        <f>+GETPIVOTDATA("LBS_UPDATED",SALESCONTRACTS!$E$1,"BRANCH_NUMBER",262,"COMMODITY_CODE","22")/25</f>
        <v>0</v>
      </c>
      <c r="AE16" s="61">
        <f>+GETPIVOTDATA("LBS_UPDATED",SALESCONTRACTS!$E$1,"BRANCH_NUMBER",272,"COMMODITY_CODE","22")/25</f>
        <v>0</v>
      </c>
      <c r="AF16" s="61">
        <f>+GETPIVOTDATA("LBS_UPDATED",SALESCONTRACTS!$E$1,"BRANCH_NUMBER",292,"COMMODITY_CODE","22")/25</f>
        <v>0</v>
      </c>
      <c r="AG16" s="61">
        <f>+GETPIVOTDATA("LBS_UPDATED",SALESCONTRACTS!$E$1,"BRANCH_NUMBER",291,"COMMODITY_CODE","22")/25</f>
        <v>0</v>
      </c>
      <c r="AH16" s="61"/>
      <c r="AI16" s="61"/>
      <c r="AJ16" s="61">
        <f>+GETPIVOTDATA("LBS_UPDATED",SALESCONTRACTS!$E$1,"BRANCH_NUMBER",295,"COMMODITY_CODE","22")/25</f>
        <v>0</v>
      </c>
      <c r="AK16" s="61">
        <f>+GETPIVOTDATA("LBS_UPDATED",SALESCONTRACTS!$E$1,"BRANCH_NUMBER",294,"COMMODITY_CODE","22")/25</f>
        <v>0</v>
      </c>
      <c r="AL16" s="61">
        <f>+GETPIVOTDATA("LBS_UPDATED",SALESCONTRACTS!$E$1,"BRANCH_NUMBER",296,"COMMODITY_CODE","22")/25</f>
        <v>0</v>
      </c>
      <c r="AM16" s="61">
        <f>+GETPIVOTDATA("LBS_UPDATED",SALESCONTRACTS!$E$1,"BRANCH_NUMBER",293,"COMMODITY_CODE","22")/25</f>
        <v>0</v>
      </c>
      <c r="AN16" s="61">
        <f>+GETPIVOTDATA("LBS_UPDATED",SALESCONTRACTS!$E$1,"BRANCH_NUMBER",560,"COMMODITY_CODE","22")/25</f>
        <v>0</v>
      </c>
      <c r="AO16" s="61">
        <f>+GETPIVOTDATA("LBS_UPDATED",SALESCONTRACTS!$E$1,"BRANCH_NUMBER",561,"COMMODITY_CODE","22")/25</f>
        <v>0</v>
      </c>
      <c r="AP16" s="61">
        <f>+GETPIVOTDATA("LBS_UPDATED",SALESCONTRACTS!$E$1,"BRANCH_NUMBER",311,"COMMODITY_CODE","22")/25</f>
        <v>0</v>
      </c>
      <c r="AQ16" s="61">
        <f>+GETPIVOTDATA("LBS_UPDATED",SALESCONTRACTS!$E$1,"BRANCH_NUMBER",315,"COMMODITY_CODE","22")/25</f>
        <v>0</v>
      </c>
      <c r="AR16" s="61">
        <f>+GETPIVOTDATA("LBS_UPDATED",SALESCONTRACTS!$E$1,"BRANCH_NUMBER",331,"COMMODITY_CODE","22")/25</f>
        <v>0</v>
      </c>
      <c r="AS16" s="61">
        <f>+GETPIVOTDATA("LBS_UPDATED",SALESCONTRACTS!$E$1,"BRANCH_NUMBER",341,"COMMODITY_CODE","22")/25</f>
        <v>0</v>
      </c>
      <c r="AT16" s="61">
        <f>+GETPIVOTDATA("LBS_UPDATED",SALESCONTRACTS!$E$1,"BRANCH_NUMBER",351,"COMMODITY_CODE","22")/25</f>
        <v>0</v>
      </c>
      <c r="AU16" s="61">
        <f>+GETPIVOTDATA("LBS_UPDATED",SALESCONTRACTS!$E$1,"BRANCH_NUMBER",361,"COMMODITY_CODE","22")/25</f>
        <v>0</v>
      </c>
      <c r="AV16" s="61">
        <f>(+GETPIVOTDATA("LBS_UPDATED",SALESCONTRACTS!$E$1,"BRANCH_NUMBER",432,"COMMODITY_CODE","22")+GETPIVOTDATA("LBS_UPDATED",SALESCONTRACTS!$E$1,"BRANCH_NUMBER",433,"COMMODITY_CODE","22"))/60</f>
        <v>0</v>
      </c>
      <c r="AW16" s="61">
        <f>+GETPIVOTDATA("LBS_UPDATED",SALESCONTRACTS!$E$1,"BRANCH_NUMBER",442,"COMMODITY_CODE","22")/25</f>
        <v>0</v>
      </c>
      <c r="AX16" s="61">
        <f>+GETPIVOTDATA("LBS_UPDATED",SALESCONTRACTS!$E$1,"BRANCH_NUMBER",443,"COMMODITY_CODE","22")/25</f>
        <v>0</v>
      </c>
      <c r="AY16" s="61">
        <f>+GETPIVOTDATA("LBS_UPDATED",SALESCONTRACTS!$E$1,"BRANCH_NUMBER",445,"COMMODITY_CODE","22")/25</f>
        <v>0</v>
      </c>
      <c r="AZ16" s="61">
        <f>+GETPIVOTDATA("LBS_UPDATED",SALESCONTRACTS!$E$1,"BRANCH_NUMBER",447,"COMMODITY_CODE","22")/25</f>
        <v>0</v>
      </c>
      <c r="BA16" s="61">
        <f>+GETPIVOTDATA("LBS_UPDATED",SALESCONTRACTS!$E$1,"BRANCH_NUMBER",510,"COMMODITY_CODE","22")/25</f>
        <v>0</v>
      </c>
      <c r="BB16" s="61">
        <f>+GETPIVOTDATA("LBS_UPDATED",SALESCONTRACTS!$E$1,"BRANCH_NUMBER",520,"COMMODITY_CODE","22")/25</f>
        <v>1214.96</v>
      </c>
      <c r="BC16" s="61">
        <f>+GETPIVOTDATA("LBS_UPDATED",SALESCONTRACTS!$E$1,"BRANCH_NUMBER",530,"COMMODITY_CODE","22")/25</f>
        <v>0</v>
      </c>
      <c r="BD16" s="61">
        <f>+GETPIVOTDATA("LBS_UPDATED",SALESCONTRACTS!$E$1,"BRANCH_NUMBER",540,"COMMODITY_CODE","22")/25</f>
        <v>0</v>
      </c>
      <c r="BE16" s="61">
        <f>+GETPIVOTDATA("LBS_UPDATED",SALESCONTRACTS!$E$1,"BRANCH_NUMBER",541,"COMMODITY_CODE","22")/25</f>
        <v>0</v>
      </c>
      <c r="BF16" s="61">
        <f>+GETPIVOTDATA("LBS_UPDATED",SALESCONTRACTS!$E$1,"BRANCH_NUMBER",542,"COMMODITY_CODE","22")/25</f>
        <v>0</v>
      </c>
      <c r="BG16" s="61">
        <f>+GETPIVOTDATA("LBS_UPDATED",SALESCONTRACTS!$E$1,"BRANCH_NUMBER",543,"COMMODITY_CODE","22")/25</f>
        <v>0</v>
      </c>
      <c r="BH16" s="61">
        <f>+GETPIVOTDATA("LBS_UPDATED",SALESCONTRACTS!$E$1,"BRANCH_NUMBER",544,"COMMODITY_CODE","22")/25</f>
        <v>0</v>
      </c>
      <c r="BI16" s="61">
        <f>+GETPIVOTDATA("LBS_UPDATED",SALESCONTRACTS!$E$1,"BRANCH_NUMBER",545,"COMMODITY_CODE","22")/25</f>
        <v>0</v>
      </c>
      <c r="BJ16" s="61">
        <f>+GETPIVOTDATA("LBS_UPDATED",SALESCONTRACTS!$E$1,"BRANCH_NUMBER",546,"COMMODITY_CODE","22")/25</f>
        <v>0</v>
      </c>
      <c r="BK16" s="61">
        <f>+GETPIVOTDATA("LBS_UPDATED",SALESCONTRACTS!$E$1,"BRANCH_NUMBER",547,"COMMODITY_CODE","22")/25</f>
        <v>0</v>
      </c>
      <c r="BL16" s="61">
        <f>+GETPIVOTDATA("LBS_UPDATED",SALESCONTRACTS!$E$1,"BRANCH_NUMBER",548,"COMMODITY_CODE","22")/25</f>
        <v>0</v>
      </c>
      <c r="BM16" s="61">
        <f>+GETPIVOTDATA("LBS_UPDATED",SALESCONTRACTS!$E$1,"BRANCH_NUMBER",549,"COMMODITY_CODE","22")/25</f>
        <v>0</v>
      </c>
      <c r="BN16" s="61">
        <f>+GETPIVOTDATA("LBS_UPDATED",SALESCONTRACTS!$E$1,"BRANCH_NUMBER",550,"COMMODITY_CODE","22")/25</f>
        <v>0</v>
      </c>
      <c r="BO16" s="61">
        <f>+GETPIVOTDATA("LBS_UPDATED",SALESCONTRACTS!$E$1,"BRANCH_NUMBER",551,"COMMODITY_CODE","22")/25</f>
        <v>0</v>
      </c>
      <c r="BP16" s="61">
        <f>+GETPIVOTDATA("LBS_UPDATED",SALESCONTRACTS!$E$1,"BRANCH_NUMBER",195,"COMMODITY_CODE","22")/25</f>
        <v>0</v>
      </c>
      <c r="BQ16" s="61">
        <f>+GETPIVOTDATA("LBS_UPDATED",SALESCONTRACTS!$E$1,"BRANCH_NUMBER",196,"COMMODITY_CODE","22")/25</f>
        <v>0</v>
      </c>
      <c r="BR16" s="61">
        <f>+GETPIVOTDATA("LBS_UPDATED",SALESCONTRACTS!$E$1,"BRANCH_NUMBER",198,"COMMODITY_CODE","22")/25</f>
        <v>0</v>
      </c>
      <c r="BS16" s="61">
        <f>+GETPIVOTDATA("LBS_UPDATED",SALESCONTRACTS!$E$1,"BRANCH_NUMBER",193,"COMMODITY_CODE","22")/25</f>
        <v>0</v>
      </c>
      <c r="BT16" s="61">
        <f>+GETPIVOTDATA("LBS_UPDATED",SALESCONTRACTS!$E$1,"BRANCH_NUMBER",194,"COMMODITY_CODE","22")/25</f>
        <v>0</v>
      </c>
      <c r="BU16" s="61">
        <f>+GETPIVOTDATA("LBS_UPDATED",SALESCONTRACTS!$E$1,"BRANCH_NUMBER",192,"COMMODITY_CODE","22")/25</f>
        <v>0</v>
      </c>
      <c r="BV16" s="61"/>
      <c r="BW16" s="61"/>
      <c r="BX16" s="61"/>
      <c r="BY16" s="61">
        <f>+GETPIVOTDATA("LBS_UPDATED",SALESCONTRACTS!$E$1,"BRANCH_NUMBER",1,"COMMODITY_CODE","22")/25</f>
        <v>7.28</v>
      </c>
      <c r="BZ16" s="61">
        <f t="shared" si="3"/>
        <v>3965.5200000000004</v>
      </c>
    </row>
    <row r="17" spans="1:78" x14ac:dyDescent="0.25">
      <c r="A17" s="63" t="s">
        <v>115</v>
      </c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1">
        <f t="shared" si="3"/>
        <v>0</v>
      </c>
    </row>
    <row r="18" spans="1:78" x14ac:dyDescent="0.25">
      <c r="A18" s="63" t="s">
        <v>183</v>
      </c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82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82"/>
      <c r="BQ18" s="82"/>
      <c r="BR18" s="82"/>
      <c r="BS18" s="82"/>
      <c r="BT18" s="82"/>
      <c r="BU18" s="82"/>
      <c r="BV18" s="82"/>
      <c r="BW18" s="82"/>
      <c r="BX18" s="82"/>
      <c r="BY18" s="82"/>
      <c r="BZ18" s="61">
        <f t="shared" si="3"/>
        <v>0</v>
      </c>
    </row>
    <row r="19" spans="1:78" x14ac:dyDescent="0.25">
      <c r="A19" s="63" t="s">
        <v>116</v>
      </c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82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82"/>
      <c r="BQ19" s="82"/>
      <c r="BR19" s="82"/>
      <c r="BS19" s="82"/>
      <c r="BT19" s="82"/>
      <c r="BU19" s="82"/>
      <c r="BV19" s="82"/>
      <c r="BW19" s="82"/>
      <c r="BX19" s="82"/>
      <c r="BY19" s="82"/>
      <c r="BZ19" s="61">
        <f t="shared" si="3"/>
        <v>0</v>
      </c>
    </row>
    <row r="20" spans="1:78" ht="13.8" thickBot="1" x14ac:dyDescent="0.3">
      <c r="A20" s="63" t="s">
        <v>99</v>
      </c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83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BZ20" s="61">
        <f t="shared" si="3"/>
        <v>0</v>
      </c>
    </row>
    <row r="21" spans="1:78" ht="13.8" thickBot="1" x14ac:dyDescent="0.3">
      <c r="A21" s="73" t="s">
        <v>134</v>
      </c>
      <c r="B21" s="84"/>
      <c r="C21" s="85"/>
      <c r="D21" s="85"/>
      <c r="E21" s="85"/>
      <c r="F21" s="85"/>
      <c r="G21" s="85"/>
      <c r="H21" s="85"/>
      <c r="I21" s="85"/>
      <c r="J21" s="86"/>
      <c r="K21" s="84"/>
      <c r="L21" s="84"/>
      <c r="M21" s="85"/>
      <c r="N21" s="85"/>
      <c r="O21" s="85"/>
      <c r="P21" s="85">
        <v>13000</v>
      </c>
      <c r="Q21" s="85"/>
      <c r="R21" s="85"/>
      <c r="S21" s="85"/>
      <c r="T21" s="86"/>
      <c r="U21" s="85"/>
      <c r="V21" s="85"/>
      <c r="W21" s="85"/>
      <c r="X21" s="85"/>
      <c r="Y21" s="83"/>
      <c r="Z21" s="85"/>
      <c r="AA21" s="85"/>
      <c r="AB21" s="85"/>
      <c r="AC21" s="85"/>
      <c r="AD21" s="85"/>
      <c r="AE21" s="86"/>
      <c r="AF21" s="85"/>
      <c r="AG21" s="85"/>
      <c r="AH21" s="85"/>
      <c r="AI21" s="85"/>
      <c r="AJ21" s="85"/>
      <c r="AK21" s="85"/>
      <c r="AL21" s="85"/>
      <c r="AM21" s="85">
        <v>2500</v>
      </c>
      <c r="AN21" s="85"/>
      <c r="AO21" s="85"/>
      <c r="AP21" s="85"/>
      <c r="AQ21" s="85"/>
      <c r="AR21" s="85"/>
      <c r="AS21" s="85">
        <v>8000</v>
      </c>
      <c r="AT21" s="85"/>
      <c r="AU21" s="85"/>
      <c r="AV21" s="85"/>
      <c r="AW21" s="86"/>
      <c r="AX21" s="84"/>
      <c r="AY21" s="85"/>
      <c r="AZ21" s="85"/>
      <c r="BA21" s="85"/>
      <c r="BB21" s="85">
        <v>10000</v>
      </c>
      <c r="BC21" s="85"/>
      <c r="BD21" s="85"/>
      <c r="BE21" s="85"/>
      <c r="BF21" s="85"/>
      <c r="BG21" s="85"/>
      <c r="BH21" s="85"/>
      <c r="BI21" s="85"/>
      <c r="BJ21" s="85"/>
      <c r="BK21" s="85"/>
      <c r="BL21" s="85"/>
      <c r="BM21" s="85"/>
      <c r="BN21" s="85"/>
      <c r="BO21" s="85">
        <v>50000</v>
      </c>
      <c r="BP21" s="85">
        <v>65000</v>
      </c>
      <c r="BQ21" s="85"/>
      <c r="BR21" s="86"/>
      <c r="BS21" s="84"/>
      <c r="BT21" s="85"/>
      <c r="BU21" s="85"/>
      <c r="BV21" s="85"/>
      <c r="BW21" s="85"/>
      <c r="BX21" s="85"/>
      <c r="BY21" s="86"/>
      <c r="BZ21" s="61">
        <f t="shared" si="3"/>
        <v>148500</v>
      </c>
    </row>
    <row r="22" spans="1:78" ht="13.8" thickBot="1" x14ac:dyDescent="0.3">
      <c r="A22" s="73" t="s">
        <v>135</v>
      </c>
      <c r="B22" s="84"/>
      <c r="C22" s="85"/>
      <c r="D22" s="85"/>
      <c r="E22" s="85"/>
      <c r="F22" s="85"/>
      <c r="G22" s="85"/>
      <c r="H22" s="85"/>
      <c r="I22" s="85"/>
      <c r="J22" s="85"/>
      <c r="K22" s="84"/>
      <c r="L22" s="84"/>
      <c r="M22" s="85"/>
      <c r="N22" s="85"/>
      <c r="O22" s="85"/>
      <c r="P22" s="85">
        <v>273000</v>
      </c>
      <c r="Q22" s="85"/>
      <c r="R22" s="85"/>
      <c r="S22" s="85"/>
      <c r="T22" s="86"/>
      <c r="U22" s="85"/>
      <c r="V22" s="85"/>
      <c r="W22" s="85"/>
      <c r="X22" s="85"/>
      <c r="Y22" s="85"/>
      <c r="Z22" s="85"/>
      <c r="AA22" s="85">
        <v>100000</v>
      </c>
      <c r="AB22" s="85"/>
      <c r="AC22" s="85"/>
      <c r="AD22" s="85"/>
      <c r="AE22" s="86"/>
      <c r="AF22" s="85"/>
      <c r="AG22" s="85"/>
      <c r="AH22" s="85"/>
      <c r="AI22" s="85"/>
      <c r="AJ22" s="85"/>
      <c r="AK22" s="85"/>
      <c r="AL22" s="85"/>
      <c r="AM22" s="85">
        <v>15000</v>
      </c>
      <c r="AN22" s="85"/>
      <c r="AO22" s="85"/>
      <c r="AP22" s="85">
        <v>28000</v>
      </c>
      <c r="AQ22" s="85">
        <v>413000</v>
      </c>
      <c r="AR22" s="85"/>
      <c r="AS22" s="85">
        <v>271000</v>
      </c>
      <c r="AT22" s="85"/>
      <c r="AU22" s="85"/>
      <c r="AV22" s="85"/>
      <c r="AW22" s="86"/>
      <c r="AX22" s="84"/>
      <c r="AY22" s="85"/>
      <c r="AZ22" s="85"/>
      <c r="BA22" s="85"/>
      <c r="BB22" s="85"/>
      <c r="BC22" s="85"/>
      <c r="BD22" s="85">
        <v>55000</v>
      </c>
      <c r="BE22" s="85"/>
      <c r="BF22" s="85"/>
      <c r="BG22" s="85"/>
      <c r="BH22" s="85"/>
      <c r="BI22" s="85"/>
      <c r="BJ22" s="85"/>
      <c r="BK22" s="85"/>
      <c r="BL22" s="85"/>
      <c r="BM22" s="85"/>
      <c r="BN22" s="85"/>
      <c r="BO22" s="85">
        <v>100000</v>
      </c>
      <c r="BP22" s="85"/>
      <c r="BQ22" s="85"/>
      <c r="BR22" s="86"/>
      <c r="BS22" s="84"/>
      <c r="BT22" s="85"/>
      <c r="BU22" s="85"/>
      <c r="BV22" s="85"/>
      <c r="BW22" s="85"/>
      <c r="BX22" s="85"/>
      <c r="BY22" s="86"/>
      <c r="BZ22" s="61">
        <f t="shared" si="3"/>
        <v>1255000</v>
      </c>
    </row>
    <row r="23" spans="1:78" ht="12.75" customHeight="1" x14ac:dyDescent="0.25">
      <c r="A23" s="73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61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BC23" s="82"/>
      <c r="BD23" s="82"/>
      <c r="BE23" s="82"/>
      <c r="BF23" s="82"/>
      <c r="BG23" s="82"/>
      <c r="BH23" s="82"/>
      <c r="BI23" s="82"/>
      <c r="BJ23" s="82"/>
      <c r="BK23" s="82"/>
      <c r="BL23" s="82"/>
      <c r="BM23" s="82"/>
      <c r="BN23" s="82"/>
      <c r="BO23" s="82"/>
      <c r="BP23" s="82"/>
      <c r="BQ23" s="82"/>
      <c r="BR23" s="82"/>
      <c r="BS23" s="82"/>
      <c r="BT23" s="82"/>
      <c r="BU23" s="82"/>
      <c r="BV23" s="82"/>
      <c r="BW23" s="82"/>
      <c r="BX23" s="82"/>
      <c r="BY23" s="82"/>
      <c r="BZ23" s="87"/>
    </row>
    <row r="24" spans="1:78" s="79" customFormat="1" x14ac:dyDescent="0.25">
      <c r="A24" s="79" t="s">
        <v>7</v>
      </c>
      <c r="B24" s="80">
        <f>B10-B12-B13-B14-B15-B16-B17-B18-B19-B20-B21-B22</f>
        <v>492433.85</v>
      </c>
      <c r="C24" s="80">
        <f t="shared" ref="C24:BX24" si="4">C10-C12-C13-C14-C15-C16-C17-C18-C19-C20-C21-C22</f>
        <v>116847.23333333332</v>
      </c>
      <c r="D24" s="80">
        <f t="shared" si="4"/>
        <v>495762.16428571433</v>
      </c>
      <c r="E24" s="80">
        <f t="shared" si="4"/>
        <v>264631.16309523815</v>
      </c>
      <c r="F24" s="80">
        <f t="shared" si="4"/>
        <v>207353.2</v>
      </c>
      <c r="G24" s="80">
        <f t="shared" si="4"/>
        <v>883060.8142857143</v>
      </c>
      <c r="H24" s="80">
        <f>H10-H12-H13-H14-H15-H16-H17-H18-H19-H20-H21-H22</f>
        <v>782976</v>
      </c>
      <c r="I24" s="80">
        <f t="shared" si="4"/>
        <v>109117.68333333333</v>
      </c>
      <c r="J24" s="80">
        <f t="shared" si="4"/>
        <v>510045.51904761908</v>
      </c>
      <c r="K24" s="80">
        <f t="shared" si="4"/>
        <v>2696634.1654761904</v>
      </c>
      <c r="L24" s="80">
        <f>L10-L12-L13-L14-L15-L16-L17-L18-L19-L20-L21-L22</f>
        <v>1035528.5714285715</v>
      </c>
      <c r="M24" s="80">
        <f t="shared" si="4"/>
        <v>859382.44999999984</v>
      </c>
      <c r="N24" s="80">
        <f t="shared" si="4"/>
        <v>135751.87142857141</v>
      </c>
      <c r="O24" s="80">
        <f t="shared" si="4"/>
        <v>483453.08166666661</v>
      </c>
      <c r="P24" s="80">
        <f t="shared" si="4"/>
        <v>214467.50714285712</v>
      </c>
      <c r="Q24" s="80">
        <f t="shared" si="4"/>
        <v>331801.66666666669</v>
      </c>
      <c r="R24" s="80">
        <f t="shared" si="4"/>
        <v>200338.9</v>
      </c>
      <c r="S24" s="80">
        <f t="shared" si="4"/>
        <v>355983.26666666666</v>
      </c>
      <c r="T24" s="80">
        <f t="shared" si="4"/>
        <v>92074.28333333334</v>
      </c>
      <c r="U24" s="80">
        <f t="shared" si="4"/>
        <v>53348.866666666661</v>
      </c>
      <c r="V24" s="80">
        <f t="shared" si="4"/>
        <v>546279.6</v>
      </c>
      <c r="W24" s="80">
        <f t="shared" si="4"/>
        <v>1638193.4226190478</v>
      </c>
      <c r="X24" s="80">
        <f t="shared" si="4"/>
        <v>733355.71547619032</v>
      </c>
      <c r="Y24" s="80">
        <f t="shared" si="4"/>
        <v>1795503.5607142858</v>
      </c>
      <c r="Z24" s="80">
        <f t="shared" si="4"/>
        <v>446214.76547619049</v>
      </c>
      <c r="AA24" s="80">
        <f t="shared" si="4"/>
        <v>858812.94642857148</v>
      </c>
      <c r="AB24" s="80">
        <f t="shared" si="4"/>
        <v>242364.60714285713</v>
      </c>
      <c r="AC24" s="80">
        <f t="shared" si="4"/>
        <v>163811.65714285715</v>
      </c>
      <c r="AD24" s="80">
        <f t="shared" si="4"/>
        <v>336238.43333333335</v>
      </c>
      <c r="AE24" s="80">
        <f t="shared" si="4"/>
        <v>857285.30357142852</v>
      </c>
      <c r="AF24" s="80">
        <f t="shared" si="4"/>
        <v>651834.05833333335</v>
      </c>
      <c r="AG24" s="80">
        <f>AG10-AG12-AG13-AG14-AG15-AG16-AG17-AG18-AG19-AG20-AG21-AG22</f>
        <v>320573.60714285716</v>
      </c>
      <c r="AH24" s="80">
        <f t="shared" si="4"/>
        <v>735415.0440476191</v>
      </c>
      <c r="AI24" s="80">
        <f>AI10-AI12-AI13-AI14-AI15-AI16-AI17-AI18-AI19-AI20-AI21-AI22</f>
        <v>909618.03571428568</v>
      </c>
      <c r="AJ24" s="80">
        <f t="shared" si="4"/>
        <v>1217407.8392857141</v>
      </c>
      <c r="AK24" s="80">
        <f t="shared" si="4"/>
        <v>542169.2345238094</v>
      </c>
      <c r="AL24" s="80">
        <f t="shared" si="4"/>
        <v>418341.83928571426</v>
      </c>
      <c r="AM24" s="80">
        <f t="shared" si="4"/>
        <v>934071.86904761905</v>
      </c>
      <c r="AN24" s="80">
        <f t="shared" si="4"/>
        <v>-2244967.1309523811</v>
      </c>
      <c r="AO24" s="80">
        <f t="shared" si="4"/>
        <v>4183350.7166666668</v>
      </c>
      <c r="AP24" s="80">
        <f t="shared" si="4"/>
        <v>755972.42142857134</v>
      </c>
      <c r="AQ24" s="80">
        <f t="shared" si="4"/>
        <v>-12696.625</v>
      </c>
      <c r="AR24" s="80">
        <f t="shared" si="4"/>
        <v>31681.816666666666</v>
      </c>
      <c r="AS24" s="80">
        <f t="shared" si="4"/>
        <v>439398.2333333334</v>
      </c>
      <c r="AT24" s="80">
        <f t="shared" si="4"/>
        <v>398440.71071428573</v>
      </c>
      <c r="AU24" s="80">
        <f t="shared" si="4"/>
        <v>184630.21666666667</v>
      </c>
      <c r="AV24" s="80">
        <f t="shared" si="4"/>
        <v>2012815.7988095237</v>
      </c>
      <c r="AW24" s="80">
        <f t="shared" si="4"/>
        <v>548798.29761904769</v>
      </c>
      <c r="AX24" s="80">
        <f t="shared" si="4"/>
        <v>926414.00119047624</v>
      </c>
      <c r="AY24" s="80">
        <f t="shared" si="4"/>
        <v>494967.23214285716</v>
      </c>
      <c r="AZ24" s="80">
        <f>AZ10-AZ12-AZ13-AZ14-AZ15-AZ16-AZ17-AZ18-AZ19-AZ20-AZ21-AZ22</f>
        <v>469901.43809523806</v>
      </c>
      <c r="BA24" s="80">
        <f t="shared" si="4"/>
        <v>967049.92976190487</v>
      </c>
      <c r="BB24" s="80">
        <f t="shared" si="4"/>
        <v>140520.70142857145</v>
      </c>
      <c r="BC24" s="80">
        <f t="shared" si="4"/>
        <v>250637.2107142857</v>
      </c>
      <c r="BD24" s="80">
        <f t="shared" si="4"/>
        <v>220004.4738095238</v>
      </c>
      <c r="BE24" s="80">
        <f t="shared" si="4"/>
        <v>705311.41309523815</v>
      </c>
      <c r="BF24" s="80">
        <f t="shared" si="4"/>
        <v>786692.82857142866</v>
      </c>
      <c r="BG24" s="80">
        <f t="shared" si="4"/>
        <v>765133.57142857148</v>
      </c>
      <c r="BH24" s="80">
        <f t="shared" si="4"/>
        <v>700654.37142857153</v>
      </c>
      <c r="BI24" s="80">
        <f t="shared" si="4"/>
        <v>389876.83809523814</v>
      </c>
      <c r="BJ24" s="80">
        <f t="shared" si="4"/>
        <v>376674.45952380955</v>
      </c>
      <c r="BK24" s="80">
        <f t="shared" si="4"/>
        <v>476574.45119047619</v>
      </c>
      <c r="BL24" s="80">
        <f t="shared" si="4"/>
        <v>278810.83928571426</v>
      </c>
      <c r="BM24" s="80">
        <f t="shared" si="4"/>
        <v>141543.53571428571</v>
      </c>
      <c r="BN24" s="80">
        <f t="shared" si="4"/>
        <v>258144.72976190477</v>
      </c>
      <c r="BO24" s="80">
        <f t="shared" si="4"/>
        <v>892650.14880952379</v>
      </c>
      <c r="BP24" s="80">
        <f t="shared" si="4"/>
        <v>389091.46809523809</v>
      </c>
      <c r="BQ24" s="80">
        <f t="shared" si="4"/>
        <v>84843.192857142858</v>
      </c>
      <c r="BR24" s="80">
        <f t="shared" si="4"/>
        <v>127938.96666666666</v>
      </c>
      <c r="BS24" s="80">
        <f t="shared" si="4"/>
        <v>129564.8880952381</v>
      </c>
      <c r="BT24" s="80">
        <f t="shared" si="4"/>
        <v>372015.93333333335</v>
      </c>
      <c r="BU24" s="80">
        <f t="shared" si="4"/>
        <v>678271.82023809524</v>
      </c>
      <c r="BV24" s="80">
        <f>BV10-BV12-BV13-BV14-BV15-BV16-BV17-BV18-BV19-BV20-BV21-BV22</f>
        <v>674108.96666666667</v>
      </c>
      <c r="BW24" s="80">
        <f t="shared" si="4"/>
        <v>471879.66666666669</v>
      </c>
      <c r="BX24" s="80">
        <f t="shared" si="4"/>
        <v>4547782.666666667</v>
      </c>
      <c r="BY24" s="80">
        <f>BY10-BY12-BY13-BY14-BY15-BY16-BY17-BY18-BY19-BY20-BY21-BY22</f>
        <v>-7692583.5300000012</v>
      </c>
      <c r="BZ24" s="80">
        <f>BZ10-BZ12-BZ13-BZ14-BZ15-BZ16-BZ17-BZ18-BZ19-BZ20-BZ21-BZ22</f>
        <v>38990384.46642857</v>
      </c>
    </row>
    <row r="25" spans="1:78" ht="6" customHeight="1" x14ac:dyDescent="0.25"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81"/>
    </row>
    <row r="26" spans="1:78" x14ac:dyDescent="0.25">
      <c r="A26" s="63" t="s">
        <v>8</v>
      </c>
      <c r="B26" s="66">
        <v>243000</v>
      </c>
      <c r="C26" s="66">
        <v>259200</v>
      </c>
      <c r="D26" s="66">
        <v>651600</v>
      </c>
      <c r="E26" s="66">
        <v>406200</v>
      </c>
      <c r="F26" s="66">
        <v>106200</v>
      </c>
      <c r="G26" s="66">
        <v>1015000</v>
      </c>
      <c r="H26" s="66"/>
      <c r="I26" s="66">
        <v>165655</v>
      </c>
      <c r="J26" s="66">
        <v>607500</v>
      </c>
      <c r="K26" s="66">
        <v>2020000</v>
      </c>
      <c r="L26" s="66"/>
      <c r="M26" s="66">
        <v>861300</v>
      </c>
      <c r="N26" s="66">
        <v>352000</v>
      </c>
      <c r="O26" s="66">
        <v>1218300</v>
      </c>
      <c r="P26" s="66">
        <v>1266000</v>
      </c>
      <c r="Q26" s="66">
        <v>354600</v>
      </c>
      <c r="R26" s="66">
        <v>235800</v>
      </c>
      <c r="S26" s="66">
        <v>185000</v>
      </c>
      <c r="T26" s="66"/>
      <c r="U26" s="66">
        <v>184500</v>
      </c>
      <c r="V26" s="66">
        <v>765000</v>
      </c>
      <c r="W26" s="66">
        <v>1620000</v>
      </c>
      <c r="X26" s="66">
        <v>1186200</v>
      </c>
      <c r="Y26" s="66">
        <v>1875000</v>
      </c>
      <c r="Z26" s="66">
        <v>463000</v>
      </c>
      <c r="AA26" s="66">
        <v>1100000</v>
      </c>
      <c r="AB26" s="66"/>
      <c r="AC26" s="66">
        <v>235800</v>
      </c>
      <c r="AD26" s="66">
        <v>388800</v>
      </c>
      <c r="AE26" s="66">
        <v>760000</v>
      </c>
      <c r="AF26" s="66">
        <v>900000</v>
      </c>
      <c r="AG26" s="66">
        <v>500000</v>
      </c>
      <c r="AH26" s="66">
        <v>900000</v>
      </c>
      <c r="AI26" s="66"/>
      <c r="AJ26" s="66">
        <v>1137000</v>
      </c>
      <c r="AK26" s="66">
        <v>675000</v>
      </c>
      <c r="AL26" s="66">
        <v>421662</v>
      </c>
      <c r="AM26" s="66">
        <v>1140000</v>
      </c>
      <c r="AN26" s="66">
        <v>2800000</v>
      </c>
      <c r="AO26" s="66">
        <v>4183351</v>
      </c>
      <c r="AP26" s="66">
        <v>1279000</v>
      </c>
      <c r="AQ26" s="66"/>
      <c r="AR26" s="66">
        <v>178060</v>
      </c>
      <c r="AS26" s="66">
        <v>993000</v>
      </c>
      <c r="AT26" s="66">
        <v>519300</v>
      </c>
      <c r="AU26" s="66">
        <v>345600</v>
      </c>
      <c r="AV26" s="66">
        <v>2165500</v>
      </c>
      <c r="AW26" s="66">
        <v>867600</v>
      </c>
      <c r="AX26" s="66">
        <v>1293000</v>
      </c>
      <c r="AY26" s="66"/>
      <c r="AZ26" s="66">
        <v>900000</v>
      </c>
      <c r="BA26" s="66">
        <v>1175000</v>
      </c>
      <c r="BB26" s="66">
        <v>233100</v>
      </c>
      <c r="BC26" s="66">
        <v>326700</v>
      </c>
      <c r="BD26" s="66">
        <v>376200</v>
      </c>
      <c r="BE26" s="66">
        <v>1053000</v>
      </c>
      <c r="BF26" s="66">
        <v>828900</v>
      </c>
      <c r="BG26" s="66">
        <v>490000</v>
      </c>
      <c r="BH26" s="66">
        <v>839000</v>
      </c>
      <c r="BI26" s="66">
        <v>529000</v>
      </c>
      <c r="BJ26" s="66">
        <v>428000</v>
      </c>
      <c r="BK26" s="66">
        <v>561000</v>
      </c>
      <c r="BL26" s="66">
        <v>460000</v>
      </c>
      <c r="BM26" s="66">
        <v>229000</v>
      </c>
      <c r="BN26" s="66">
        <v>312000</v>
      </c>
      <c r="BO26" s="66">
        <v>1400000</v>
      </c>
      <c r="BP26" s="66">
        <v>644000</v>
      </c>
      <c r="BQ26" s="66">
        <v>182000</v>
      </c>
      <c r="BR26" s="66"/>
      <c r="BS26" s="66">
        <v>234000</v>
      </c>
      <c r="BT26" s="66">
        <v>168000</v>
      </c>
      <c r="BU26" s="66">
        <v>1060000</v>
      </c>
      <c r="BV26" s="66">
        <v>675000</v>
      </c>
      <c r="BW26" s="66">
        <v>525000</v>
      </c>
      <c r="BX26" s="66">
        <v>4547783</v>
      </c>
      <c r="BY26" s="66"/>
      <c r="BZ26" s="61">
        <f>SUM(B26:BY26)</f>
        <v>57000411</v>
      </c>
    </row>
    <row r="27" spans="1:78" x14ac:dyDescent="0.25">
      <c r="A27" s="63" t="s">
        <v>9</v>
      </c>
      <c r="B27" s="66">
        <v>276300</v>
      </c>
      <c r="C27" s="66"/>
      <c r="D27" s="66"/>
      <c r="E27" s="66"/>
      <c r="F27" s="66">
        <v>126000</v>
      </c>
      <c r="G27" s="66">
        <v>85500</v>
      </c>
      <c r="H27" s="66">
        <v>800000</v>
      </c>
      <c r="I27" s="66"/>
      <c r="J27" s="66"/>
      <c r="K27" s="66">
        <v>1100000</v>
      </c>
      <c r="L27" s="66">
        <v>1045096</v>
      </c>
      <c r="M27" s="66">
        <v>192600</v>
      </c>
      <c r="N27" s="66"/>
      <c r="O27" s="66"/>
      <c r="P27" s="66"/>
      <c r="Q27" s="66"/>
      <c r="R27" s="66"/>
      <c r="S27" s="66">
        <v>236000</v>
      </c>
      <c r="T27" s="66"/>
      <c r="U27" s="66"/>
      <c r="V27" s="66"/>
      <c r="W27" s="66"/>
      <c r="X27" s="66"/>
      <c r="Y27" s="66"/>
      <c r="Z27" s="66">
        <v>220000</v>
      </c>
      <c r="AA27" s="66"/>
      <c r="AB27" s="66">
        <v>375000</v>
      </c>
      <c r="AC27" s="66"/>
      <c r="AD27" s="66"/>
      <c r="AE27" s="66">
        <v>201600</v>
      </c>
      <c r="AF27" s="66"/>
      <c r="AG27" s="66"/>
      <c r="AH27" s="66"/>
      <c r="AI27" s="66">
        <v>900000</v>
      </c>
      <c r="AJ27" s="66">
        <v>130000</v>
      </c>
      <c r="AK27" s="66"/>
      <c r="AL27" s="66"/>
      <c r="AM27" s="66"/>
      <c r="AN27" s="66"/>
      <c r="AO27" s="66"/>
      <c r="AP27" s="66">
        <v>49500</v>
      </c>
      <c r="AQ27" s="66">
        <v>400000</v>
      </c>
      <c r="AR27" s="66">
        <v>40500</v>
      </c>
      <c r="AS27" s="66"/>
      <c r="AT27" s="66">
        <v>31500</v>
      </c>
      <c r="AU27" s="66"/>
      <c r="AV27" s="66">
        <v>90000</v>
      </c>
      <c r="AW27" s="66"/>
      <c r="AX27" s="66"/>
      <c r="AY27" s="66">
        <v>500000</v>
      </c>
      <c r="AZ27" s="66"/>
      <c r="BA27" s="66"/>
      <c r="BB27" s="66"/>
      <c r="BC27" s="66"/>
      <c r="BD27" s="66"/>
      <c r="BE27" s="66"/>
      <c r="BF27" s="66">
        <v>211500</v>
      </c>
      <c r="BG27" s="66">
        <v>950000</v>
      </c>
      <c r="BH27" s="66"/>
      <c r="BI27" s="66"/>
      <c r="BJ27" s="66"/>
      <c r="BK27" s="66"/>
      <c r="BL27" s="66"/>
      <c r="BM27" s="66"/>
      <c r="BN27" s="66"/>
      <c r="BO27" s="66"/>
      <c r="BP27" s="66"/>
      <c r="BQ27" s="66"/>
      <c r="BR27" s="66"/>
      <c r="BS27" s="66"/>
      <c r="BT27" s="66">
        <v>341000</v>
      </c>
      <c r="BU27" s="66"/>
      <c r="BV27" s="66"/>
      <c r="BW27" s="66"/>
      <c r="BX27" s="66"/>
      <c r="BY27" s="66"/>
      <c r="BZ27" s="61">
        <f>SUM(B27:BY27)</f>
        <v>8302096</v>
      </c>
    </row>
    <row r="28" spans="1:78" x14ac:dyDescent="0.25">
      <c r="A28" s="63" t="s">
        <v>132</v>
      </c>
      <c r="B28" s="66">
        <v>0</v>
      </c>
      <c r="C28" s="66"/>
      <c r="D28" s="66"/>
      <c r="E28" s="66"/>
      <c r="F28" s="66"/>
      <c r="G28" s="66"/>
      <c r="H28" s="66"/>
      <c r="I28" s="66">
        <v>0</v>
      </c>
      <c r="J28" s="66"/>
      <c r="K28" s="66">
        <v>0</v>
      </c>
      <c r="L28" s="66"/>
      <c r="M28" s="66">
        <v>0</v>
      </c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6"/>
      <c r="BY28" s="66"/>
      <c r="BZ28" s="61">
        <f>SUM(B28:BY28)</f>
        <v>0</v>
      </c>
    </row>
    <row r="29" spans="1:78" s="121" customFormat="1" x14ac:dyDescent="0.25">
      <c r="A29" s="121" t="s">
        <v>198</v>
      </c>
      <c r="B29" s="122">
        <f>SUM(B26:B28)-B10</f>
        <v>26866.150000000023</v>
      </c>
      <c r="C29" s="122">
        <f t="shared" ref="C29:BN29" si="5">SUM(C26:C28)-C10</f>
        <v>142059.66666666669</v>
      </c>
      <c r="D29" s="122">
        <f t="shared" si="5"/>
        <v>155837.83571428567</v>
      </c>
      <c r="E29" s="122">
        <f t="shared" si="5"/>
        <v>70904.908333333267</v>
      </c>
      <c r="F29" s="122">
        <f t="shared" si="5"/>
        <v>24846.799999999988</v>
      </c>
      <c r="G29" s="122">
        <f t="shared" si="5"/>
        <v>217439.1857142857</v>
      </c>
      <c r="H29" s="122">
        <f t="shared" si="5"/>
        <v>17024</v>
      </c>
      <c r="I29" s="122">
        <f t="shared" si="5"/>
        <v>40559.083333333328</v>
      </c>
      <c r="J29" s="122">
        <f t="shared" si="5"/>
        <v>97454.480952380924</v>
      </c>
      <c r="K29" s="122">
        <f t="shared" si="5"/>
        <v>423365.83452380961</v>
      </c>
      <c r="L29" s="122">
        <f t="shared" si="5"/>
        <v>9567.4285714285215</v>
      </c>
      <c r="M29" s="122">
        <f t="shared" si="5"/>
        <v>164974.33571428584</v>
      </c>
      <c r="N29" s="122">
        <f t="shared" si="5"/>
        <v>216248.12857142859</v>
      </c>
      <c r="O29" s="122">
        <f t="shared" si="5"/>
        <v>732914.90619047615</v>
      </c>
      <c r="P29" s="122">
        <f t="shared" si="5"/>
        <v>594611.07142857148</v>
      </c>
      <c r="Q29" s="122">
        <f t="shared" si="5"/>
        <v>22798.333333333314</v>
      </c>
      <c r="R29" s="122">
        <f t="shared" si="5"/>
        <v>35461.100000000006</v>
      </c>
      <c r="S29" s="122">
        <f t="shared" si="5"/>
        <v>65016.733333333337</v>
      </c>
      <c r="T29" s="122">
        <f t="shared" si="5"/>
        <v>-92074.28333333334</v>
      </c>
      <c r="U29" s="122">
        <f t="shared" si="5"/>
        <v>131145.58333333334</v>
      </c>
      <c r="V29" s="122">
        <f t="shared" si="5"/>
        <v>218720.40000000002</v>
      </c>
      <c r="W29" s="122">
        <f t="shared" si="5"/>
        <v>-21436.872619047761</v>
      </c>
      <c r="X29" s="122">
        <f t="shared" si="5"/>
        <v>452913.88452380965</v>
      </c>
      <c r="Y29" s="122">
        <f t="shared" si="5"/>
        <v>79496.439285714179</v>
      </c>
      <c r="Z29" s="122">
        <f t="shared" si="5"/>
        <v>195193.95119047619</v>
      </c>
      <c r="AA29" s="122">
        <f t="shared" si="5"/>
        <v>131985.26785714284</v>
      </c>
      <c r="AB29" s="122">
        <f t="shared" si="5"/>
        <v>132635.39285714287</v>
      </c>
      <c r="AC29" s="122">
        <f t="shared" si="5"/>
        <v>71988.342857142852</v>
      </c>
      <c r="AD29" s="122">
        <f t="shared" si="5"/>
        <v>51377.716666666674</v>
      </c>
      <c r="AE29" s="122">
        <f t="shared" si="5"/>
        <v>99173.779761904851</v>
      </c>
      <c r="AF29" s="122">
        <f t="shared" si="5"/>
        <v>222755.56785714277</v>
      </c>
      <c r="AG29" s="122">
        <f t="shared" si="5"/>
        <v>179426.39285714284</v>
      </c>
      <c r="AH29" s="122">
        <f t="shared" si="5"/>
        <v>164584.9559523809</v>
      </c>
      <c r="AI29" s="122">
        <f t="shared" si="5"/>
        <v>-9618.035714285681</v>
      </c>
      <c r="AJ29" s="122">
        <f t="shared" si="5"/>
        <v>49308.232142857276</v>
      </c>
      <c r="AK29" s="122">
        <f t="shared" si="5"/>
        <v>132209.69404761912</v>
      </c>
      <c r="AL29" s="122">
        <f t="shared" si="5"/>
        <v>3320.1607142857392</v>
      </c>
      <c r="AM29" s="122">
        <f t="shared" si="5"/>
        <v>180598.95238095243</v>
      </c>
      <c r="AN29" s="122">
        <f t="shared" si="5"/>
        <v>501505.95238095243</v>
      </c>
      <c r="AO29" s="122">
        <f t="shared" si="5"/>
        <v>0.28333333320915699</v>
      </c>
      <c r="AP29" s="122">
        <f t="shared" si="5"/>
        <v>540303.21190476196</v>
      </c>
      <c r="AQ29" s="122">
        <f t="shared" si="5"/>
        <v>-303.375</v>
      </c>
      <c r="AR29" s="122">
        <f t="shared" si="5"/>
        <v>186878.18333333335</v>
      </c>
      <c r="AS29" s="122">
        <f t="shared" si="5"/>
        <v>247880.39047619049</v>
      </c>
      <c r="AT29" s="122">
        <f t="shared" si="5"/>
        <v>152359.28928571427</v>
      </c>
      <c r="AU29" s="122">
        <f t="shared" si="5"/>
        <v>160797.98333333334</v>
      </c>
      <c r="AV29" s="122">
        <f t="shared" si="5"/>
        <v>237638.30833333335</v>
      </c>
      <c r="AW29" s="122">
        <f t="shared" si="5"/>
        <v>317954.27380952379</v>
      </c>
      <c r="AX29" s="122">
        <f t="shared" si="5"/>
        <v>366585.99880952376</v>
      </c>
      <c r="AY29" s="122">
        <f t="shared" si="5"/>
        <v>5032.7678571428405</v>
      </c>
      <c r="AZ29" s="122">
        <f t="shared" si="5"/>
        <v>423573.95476190478</v>
      </c>
      <c r="BA29" s="122">
        <f t="shared" si="5"/>
        <v>177911.4035714285</v>
      </c>
      <c r="BB29" s="122">
        <f t="shared" si="5"/>
        <v>81364.338571428554</v>
      </c>
      <c r="BC29" s="122">
        <f t="shared" si="5"/>
        <v>76062.789285714302</v>
      </c>
      <c r="BD29" s="122">
        <f t="shared" si="5"/>
        <v>99871.18690476194</v>
      </c>
      <c r="BE29" s="122">
        <f t="shared" si="5"/>
        <v>346721.08690476185</v>
      </c>
      <c r="BF29" s="122">
        <f t="shared" si="5"/>
        <v>253707.17142857134</v>
      </c>
      <c r="BG29" s="122">
        <f t="shared" si="5"/>
        <v>655275.21190476185</v>
      </c>
      <c r="BH29" s="122">
        <f t="shared" si="5"/>
        <v>138217.42857142852</v>
      </c>
      <c r="BI29" s="122">
        <f t="shared" si="5"/>
        <v>139102.4476190476</v>
      </c>
      <c r="BJ29" s="122">
        <f t="shared" si="5"/>
        <v>51325.54047619045</v>
      </c>
      <c r="BK29" s="122">
        <f t="shared" si="5"/>
        <v>80515.384523809538</v>
      </c>
      <c r="BL29" s="122">
        <f t="shared" si="5"/>
        <v>181061.17261904763</v>
      </c>
      <c r="BM29" s="122">
        <f t="shared" si="5"/>
        <v>87456.46428571429</v>
      </c>
      <c r="BN29" s="122">
        <f t="shared" si="5"/>
        <v>53855.270238095225</v>
      </c>
      <c r="BO29" s="122">
        <f t="shared" ref="BO29:BX29" si="6">SUM(BO26:BO28)-BO10</f>
        <v>346832.44523809524</v>
      </c>
      <c r="BP29" s="122">
        <f t="shared" si="6"/>
        <v>187331.3319047619</v>
      </c>
      <c r="BQ29" s="122">
        <f t="shared" si="6"/>
        <v>97156.807142857142</v>
      </c>
      <c r="BR29" s="122">
        <f t="shared" si="6"/>
        <v>-127938.96666666666</v>
      </c>
      <c r="BS29" s="122">
        <f t="shared" si="6"/>
        <v>103506.34523809524</v>
      </c>
      <c r="BT29" s="122">
        <f t="shared" si="6"/>
        <v>136984.06666666665</v>
      </c>
      <c r="BU29" s="122">
        <f t="shared" si="6"/>
        <v>381728.17976190476</v>
      </c>
      <c r="BV29" s="122">
        <f t="shared" si="6"/>
        <v>891.03333333332557</v>
      </c>
      <c r="BW29" s="122">
        <f t="shared" si="6"/>
        <v>53120.333333333314</v>
      </c>
      <c r="BX29" s="122">
        <f t="shared" si="6"/>
        <v>0.33333333302289248</v>
      </c>
      <c r="BY29" s="122"/>
      <c r="BZ29" s="123"/>
    </row>
    <row r="30" spans="1:78" s="121" customFormat="1" ht="6" customHeight="1" x14ac:dyDescent="0.25"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122"/>
      <c r="U30" s="122"/>
      <c r="V30" s="122"/>
      <c r="W30" s="122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2"/>
      <c r="BD30" s="122"/>
      <c r="BE30" s="122"/>
      <c r="BF30" s="122"/>
      <c r="BG30" s="122"/>
      <c r="BH30" s="122"/>
      <c r="BI30" s="122"/>
      <c r="BJ30" s="122"/>
      <c r="BK30" s="122"/>
      <c r="BL30" s="122"/>
      <c r="BM30" s="122"/>
      <c r="BN30" s="122"/>
      <c r="BO30" s="122"/>
      <c r="BP30" s="122"/>
      <c r="BQ30" s="122"/>
      <c r="BR30" s="122"/>
      <c r="BS30" s="122"/>
      <c r="BT30" s="122"/>
      <c r="BU30" s="122"/>
      <c r="BV30" s="122"/>
      <c r="BW30" s="122"/>
      <c r="BX30" s="122"/>
      <c r="BY30" s="122"/>
      <c r="BZ30" s="123"/>
    </row>
    <row r="31" spans="1:78" s="79" customFormat="1" x14ac:dyDescent="0.25">
      <c r="A31" s="79" t="s">
        <v>150</v>
      </c>
      <c r="B31" s="80">
        <f>B26+B27-B24</f>
        <v>26866.150000000023</v>
      </c>
      <c r="C31" s="80">
        <f t="shared" ref="C31:BW31" si="7">C26+C27-C24</f>
        <v>142352.76666666666</v>
      </c>
      <c r="D31" s="80">
        <f t="shared" si="7"/>
        <v>155837.83571428567</v>
      </c>
      <c r="E31" s="80">
        <f t="shared" si="7"/>
        <v>141568.83690476185</v>
      </c>
      <c r="F31" s="80">
        <f t="shared" si="7"/>
        <v>24846.799999999988</v>
      </c>
      <c r="G31" s="80">
        <f t="shared" si="7"/>
        <v>217439.1857142857</v>
      </c>
      <c r="H31" s="80">
        <f t="shared" si="7"/>
        <v>17024</v>
      </c>
      <c r="I31" s="80">
        <f t="shared" si="7"/>
        <v>56537.316666666666</v>
      </c>
      <c r="J31" s="80">
        <f t="shared" si="7"/>
        <v>97454.480952380924</v>
      </c>
      <c r="K31" s="80">
        <f t="shared" si="7"/>
        <v>423365.83452380961</v>
      </c>
      <c r="L31" s="80">
        <f>L26+L27-L24</f>
        <v>9567.4285714285215</v>
      </c>
      <c r="M31" s="80">
        <f t="shared" si="7"/>
        <v>194517.55000000016</v>
      </c>
      <c r="N31" s="80">
        <f t="shared" si="7"/>
        <v>216248.12857142859</v>
      </c>
      <c r="O31" s="80">
        <f t="shared" si="7"/>
        <v>734846.91833333345</v>
      </c>
      <c r="P31" s="80">
        <f t="shared" si="7"/>
        <v>1051532.4928571428</v>
      </c>
      <c r="Q31" s="80">
        <f t="shared" si="7"/>
        <v>22798.333333333314</v>
      </c>
      <c r="R31" s="80">
        <f t="shared" si="7"/>
        <v>35461.100000000006</v>
      </c>
      <c r="S31" s="80">
        <f t="shared" si="7"/>
        <v>65016.733333333337</v>
      </c>
      <c r="T31" s="80">
        <f t="shared" si="7"/>
        <v>-92074.28333333334</v>
      </c>
      <c r="U31" s="80">
        <f t="shared" si="7"/>
        <v>131151.13333333333</v>
      </c>
      <c r="V31" s="80">
        <f t="shared" si="7"/>
        <v>218720.40000000002</v>
      </c>
      <c r="W31" s="80">
        <f t="shared" si="7"/>
        <v>-18193.422619047808</v>
      </c>
      <c r="X31" s="80">
        <f t="shared" si="7"/>
        <v>452844.28452380968</v>
      </c>
      <c r="Y31" s="80">
        <f t="shared" si="7"/>
        <v>79496.439285714179</v>
      </c>
      <c r="Z31" s="80">
        <f t="shared" si="7"/>
        <v>236785.23452380951</v>
      </c>
      <c r="AA31" s="80">
        <f t="shared" si="7"/>
        <v>241187.05357142852</v>
      </c>
      <c r="AB31" s="80">
        <f t="shared" si="7"/>
        <v>132635.39285714287</v>
      </c>
      <c r="AC31" s="80">
        <f t="shared" si="7"/>
        <v>71988.342857142852</v>
      </c>
      <c r="AD31" s="80">
        <f t="shared" si="7"/>
        <v>52561.566666666651</v>
      </c>
      <c r="AE31" s="80">
        <f t="shared" si="7"/>
        <v>104314.69642857148</v>
      </c>
      <c r="AF31" s="80">
        <f t="shared" si="7"/>
        <v>248165.94166666665</v>
      </c>
      <c r="AG31" s="80">
        <f>AG26+AG27-AG24</f>
        <v>179426.39285714284</v>
      </c>
      <c r="AH31" s="80">
        <f t="shared" si="7"/>
        <v>164584.9559523809</v>
      </c>
      <c r="AI31" s="80">
        <f>AI26+AI27-AI24</f>
        <v>-9618.035714285681</v>
      </c>
      <c r="AJ31" s="80">
        <f t="shared" si="7"/>
        <v>49592.160714285914</v>
      </c>
      <c r="AK31" s="80">
        <f t="shared" si="7"/>
        <v>132830.7654761906</v>
      </c>
      <c r="AL31" s="80">
        <f t="shared" si="7"/>
        <v>3320.1607142857392</v>
      </c>
      <c r="AM31" s="80">
        <f t="shared" si="7"/>
        <v>205928.13095238095</v>
      </c>
      <c r="AN31" s="80">
        <f t="shared" si="7"/>
        <v>5044967.1309523806</v>
      </c>
      <c r="AO31" s="80">
        <f t="shared" si="7"/>
        <v>0.28333333320915699</v>
      </c>
      <c r="AP31" s="80">
        <f t="shared" si="7"/>
        <v>572527.57857142866</v>
      </c>
      <c r="AQ31" s="80">
        <f t="shared" si="7"/>
        <v>412696.625</v>
      </c>
      <c r="AR31" s="80">
        <f t="shared" si="7"/>
        <v>186878.18333333335</v>
      </c>
      <c r="AS31" s="80">
        <f t="shared" si="7"/>
        <v>553601.7666666666</v>
      </c>
      <c r="AT31" s="80">
        <f t="shared" si="7"/>
        <v>152359.28928571427</v>
      </c>
      <c r="AU31" s="80">
        <f>AU26+AU27-AU24</f>
        <v>160969.78333333333</v>
      </c>
      <c r="AV31" s="80">
        <f t="shared" si="7"/>
        <v>242684.20119047631</v>
      </c>
      <c r="AW31" s="80">
        <f t="shared" si="7"/>
        <v>318801.70238095231</v>
      </c>
      <c r="AX31" s="80">
        <f t="shared" si="7"/>
        <v>366585.99880952376</v>
      </c>
      <c r="AY31" s="80">
        <f t="shared" si="7"/>
        <v>5032.7678571428405</v>
      </c>
      <c r="AZ31" s="80">
        <f>AZ26+AZ27-AZ24</f>
        <v>430098.56190476194</v>
      </c>
      <c r="BA31" s="80">
        <f t="shared" si="7"/>
        <v>207950.07023809513</v>
      </c>
      <c r="BB31" s="80">
        <f t="shared" si="7"/>
        <v>92579.298571428546</v>
      </c>
      <c r="BC31" s="80">
        <f t="shared" si="7"/>
        <v>76062.789285714302</v>
      </c>
      <c r="BD31" s="80">
        <f t="shared" si="7"/>
        <v>156195.5261904762</v>
      </c>
      <c r="BE31" s="80">
        <f t="shared" si="7"/>
        <v>347688.58690476185</v>
      </c>
      <c r="BF31" s="80">
        <f t="shared" si="7"/>
        <v>253707.17142857134</v>
      </c>
      <c r="BG31" s="80">
        <f t="shared" si="7"/>
        <v>674866.42857142852</v>
      </c>
      <c r="BH31" s="80">
        <f t="shared" si="7"/>
        <v>138345.62857142847</v>
      </c>
      <c r="BI31" s="80">
        <f t="shared" si="7"/>
        <v>139123.16190476186</v>
      </c>
      <c r="BJ31" s="80">
        <f t="shared" si="7"/>
        <v>51325.54047619045</v>
      </c>
      <c r="BK31" s="80">
        <f t="shared" si="7"/>
        <v>84425.548809523811</v>
      </c>
      <c r="BL31" s="80">
        <f t="shared" si="7"/>
        <v>181189.16071428574</v>
      </c>
      <c r="BM31" s="80">
        <f t="shared" si="7"/>
        <v>87456.46428571429</v>
      </c>
      <c r="BN31" s="80">
        <f t="shared" si="7"/>
        <v>53855.270238095225</v>
      </c>
      <c r="BO31" s="80">
        <f t="shared" si="7"/>
        <v>507349.85119047621</v>
      </c>
      <c r="BP31" s="80">
        <f t="shared" si="7"/>
        <v>254908.53190476191</v>
      </c>
      <c r="BQ31" s="80">
        <f t="shared" si="7"/>
        <v>97156.807142857142</v>
      </c>
      <c r="BR31" s="80">
        <f t="shared" si="7"/>
        <v>-127938.96666666666</v>
      </c>
      <c r="BS31" s="80">
        <f t="shared" si="7"/>
        <v>104435.1119047619</v>
      </c>
      <c r="BT31" s="80">
        <f t="shared" si="7"/>
        <v>136984.06666666665</v>
      </c>
      <c r="BU31" s="80">
        <f t="shared" si="7"/>
        <v>381728.17976190476</v>
      </c>
      <c r="BV31" s="80">
        <f>BV26+BV27-BV24</f>
        <v>891.03333333332557</v>
      </c>
      <c r="BW31" s="80">
        <f t="shared" si="7"/>
        <v>53120.333333333314</v>
      </c>
      <c r="BX31" s="80">
        <f>BX26+BX27-BX24</f>
        <v>0.33333333302289248</v>
      </c>
      <c r="BY31" s="80">
        <f>BY26+BY27-BY24</f>
        <v>7692583.5300000012</v>
      </c>
      <c r="BZ31" s="80">
        <f>BZ26+BZ27-BZ24</f>
        <v>26312122.53357143</v>
      </c>
    </row>
    <row r="32" spans="1:78" ht="6" customHeight="1" thickBot="1" x14ac:dyDescent="0.3"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83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83"/>
      <c r="AM32" s="66"/>
      <c r="AN32" s="66"/>
      <c r="AO32" s="83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6"/>
      <c r="BK32" s="66"/>
      <c r="BL32" s="66"/>
      <c r="BM32" s="66"/>
      <c r="BN32" s="66"/>
      <c r="BO32" s="66"/>
      <c r="BP32" s="82"/>
      <c r="BQ32" s="82"/>
      <c r="BR32" s="82"/>
      <c r="BS32" s="82"/>
      <c r="BT32" s="82"/>
      <c r="BU32" s="82"/>
      <c r="BV32" s="82"/>
      <c r="BW32" s="82"/>
      <c r="BX32" s="82"/>
      <c r="BY32" s="82"/>
      <c r="BZ32" s="81"/>
    </row>
    <row r="33" spans="1:80" ht="13.8" thickBot="1" x14ac:dyDescent="0.3">
      <c r="A33" s="73" t="s">
        <v>68</v>
      </c>
      <c r="B33" s="88"/>
      <c r="C33" s="89"/>
      <c r="D33" s="85"/>
      <c r="E33" s="89"/>
      <c r="F33" s="89"/>
      <c r="G33" s="89"/>
      <c r="H33" s="89"/>
      <c r="I33" s="89"/>
      <c r="J33" s="90"/>
      <c r="K33" s="88"/>
      <c r="L33" s="88"/>
      <c r="M33" s="88"/>
      <c r="N33" s="89"/>
      <c r="O33" s="89"/>
      <c r="P33" s="89"/>
      <c r="Q33" s="89"/>
      <c r="R33" s="89"/>
      <c r="S33" s="89"/>
      <c r="T33" s="89"/>
      <c r="U33" s="90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5"/>
      <c r="AR33" s="89"/>
      <c r="AS33" s="89"/>
      <c r="AT33" s="89"/>
      <c r="AU33" s="89"/>
      <c r="AV33" s="89"/>
      <c r="AW33" s="89"/>
      <c r="AX33" s="89"/>
      <c r="AY33" s="90"/>
      <c r="AZ33" s="88"/>
      <c r="BA33" s="89"/>
      <c r="BB33" s="89"/>
      <c r="BC33" s="89"/>
      <c r="BD33" s="89"/>
      <c r="BE33" s="89"/>
      <c r="BF33" s="89"/>
      <c r="BG33" s="89"/>
      <c r="BH33" s="89"/>
      <c r="BI33" s="89"/>
      <c r="BJ33" s="89"/>
      <c r="BK33" s="89"/>
      <c r="BL33" s="89"/>
      <c r="BM33" s="89"/>
      <c r="BN33" s="89"/>
      <c r="BO33" s="89"/>
      <c r="BP33" s="89"/>
      <c r="BQ33" s="89"/>
      <c r="BR33" s="89"/>
      <c r="BS33" s="89"/>
      <c r="BT33" s="88"/>
      <c r="BU33" s="89"/>
      <c r="BV33" s="89"/>
      <c r="BW33" s="89"/>
      <c r="BX33" s="89"/>
      <c r="BY33" s="89"/>
      <c r="BZ33" s="61">
        <f>SUM(B33:BY33)</f>
        <v>0</v>
      </c>
    </row>
    <row r="34" spans="1:80" ht="13.8" thickBot="1" x14ac:dyDescent="0.3">
      <c r="A34" s="73" t="s">
        <v>15</v>
      </c>
      <c r="B34" s="88"/>
      <c r="C34" s="89"/>
      <c r="D34" s="89"/>
      <c r="E34" s="89"/>
      <c r="F34" s="89"/>
      <c r="G34" s="89"/>
      <c r="H34" s="89"/>
      <c r="I34" s="89"/>
      <c r="J34" s="90"/>
      <c r="K34" s="88"/>
      <c r="L34" s="88"/>
      <c r="M34" s="88"/>
      <c r="N34" s="89"/>
      <c r="O34" s="89"/>
      <c r="P34" s="89"/>
      <c r="Q34" s="89"/>
      <c r="R34" s="89"/>
      <c r="S34" s="89"/>
      <c r="T34" s="89"/>
      <c r="U34" s="90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3"/>
      <c r="AO34" s="89"/>
      <c r="AP34" s="89"/>
      <c r="AQ34" s="85"/>
      <c r="AR34" s="89"/>
      <c r="AS34" s="89"/>
      <c r="AT34" s="89"/>
      <c r="AU34" s="89"/>
      <c r="AV34" s="89"/>
      <c r="AW34" s="89"/>
      <c r="AX34" s="89"/>
      <c r="AY34" s="90"/>
      <c r="AZ34" s="88"/>
      <c r="BA34" s="89"/>
      <c r="BB34" s="89"/>
      <c r="BC34" s="89"/>
      <c r="BD34" s="89"/>
      <c r="BE34" s="89"/>
      <c r="BF34" s="89"/>
      <c r="BG34" s="89"/>
      <c r="BH34" s="89"/>
      <c r="BI34" s="89"/>
      <c r="BJ34" s="89"/>
      <c r="BK34" s="89"/>
      <c r="BL34" s="89"/>
      <c r="BM34" s="89"/>
      <c r="BN34" s="89"/>
      <c r="BO34" s="89"/>
      <c r="BP34" s="89"/>
      <c r="BQ34" s="89"/>
      <c r="BR34" s="89"/>
      <c r="BS34" s="89"/>
      <c r="BT34" s="88"/>
      <c r="BU34" s="89"/>
      <c r="BV34" s="89"/>
      <c r="BW34" s="89"/>
      <c r="BX34" s="89"/>
      <c r="BY34" s="89"/>
      <c r="BZ34" s="61">
        <f>SUM(B34:BY34)</f>
        <v>0</v>
      </c>
    </row>
    <row r="35" spans="1:80" ht="13.8" thickBot="1" x14ac:dyDescent="0.3">
      <c r="A35" s="73" t="s">
        <v>16</v>
      </c>
      <c r="B35" s="91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/>
      <c r="BH35" s="92"/>
      <c r="BI35" s="92"/>
      <c r="BJ35" s="92"/>
      <c r="BK35" s="92"/>
      <c r="BL35" s="92"/>
      <c r="BM35" s="92"/>
      <c r="BN35" s="92"/>
      <c r="BO35" s="92"/>
      <c r="BP35" s="92"/>
      <c r="BQ35" s="92"/>
      <c r="BR35" s="92"/>
      <c r="BS35" s="92"/>
      <c r="BT35" s="92"/>
      <c r="BU35" s="92"/>
      <c r="BV35" s="92"/>
      <c r="BW35" s="92"/>
      <c r="BX35" s="92"/>
      <c r="BY35" s="89"/>
      <c r="BZ35" s="61">
        <f>SUM(B35:BY35)</f>
        <v>0</v>
      </c>
    </row>
    <row r="36" spans="1:80" ht="13.8" thickBot="1" x14ac:dyDescent="0.3">
      <c r="A36" s="73" t="s">
        <v>93</v>
      </c>
      <c r="B36" s="84"/>
      <c r="C36" s="85"/>
      <c r="D36" s="85"/>
      <c r="E36" s="85"/>
      <c r="F36" s="85"/>
      <c r="G36" s="85"/>
      <c r="H36" s="85"/>
      <c r="I36" s="85"/>
      <c r="J36" s="86"/>
      <c r="K36" s="84"/>
      <c r="L36" s="84"/>
      <c r="M36" s="84"/>
      <c r="N36" s="85"/>
      <c r="O36" s="85"/>
      <c r="P36" s="85"/>
      <c r="Q36" s="85"/>
      <c r="R36" s="85"/>
      <c r="S36" s="85"/>
      <c r="T36" s="85"/>
      <c r="U36" s="86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6"/>
      <c r="AW36" s="84"/>
      <c r="AX36" s="85"/>
      <c r="AY36" s="85"/>
      <c r="AZ36" s="85"/>
      <c r="BA36" s="85"/>
      <c r="BB36" s="85"/>
      <c r="BC36" s="85"/>
      <c r="BD36" s="85"/>
      <c r="BE36" s="85"/>
      <c r="BF36" s="85"/>
      <c r="BG36" s="85"/>
      <c r="BH36" s="85"/>
      <c r="BI36" s="85"/>
      <c r="BJ36" s="85"/>
      <c r="BK36" s="85"/>
      <c r="BL36" s="85"/>
      <c r="BM36" s="85"/>
      <c r="BN36" s="85"/>
      <c r="BO36" s="85"/>
      <c r="BP36" s="85"/>
      <c r="BQ36" s="85"/>
      <c r="BR36" s="84"/>
      <c r="BS36" s="85"/>
      <c r="BT36" s="85"/>
      <c r="BU36" s="85"/>
      <c r="BV36" s="85"/>
      <c r="BW36" s="86"/>
      <c r="BX36" s="85"/>
      <c r="BY36" s="85"/>
      <c r="BZ36" s="61">
        <f>SUM(B36:BY36)</f>
        <v>0</v>
      </c>
    </row>
    <row r="37" spans="1:80" ht="13.5" customHeight="1" thickBot="1" x14ac:dyDescent="0.3">
      <c r="A37" s="73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5"/>
      <c r="AZ37" s="82"/>
      <c r="BA37" s="82"/>
      <c r="BB37" s="82"/>
      <c r="BC37" s="82" t="s">
        <v>138</v>
      </c>
      <c r="BD37" s="82"/>
      <c r="BE37" s="82"/>
      <c r="BF37" s="82"/>
      <c r="BG37" s="82"/>
      <c r="BH37" s="82"/>
      <c r="BI37" s="82"/>
      <c r="BJ37" s="82"/>
      <c r="BK37" s="82"/>
      <c r="BL37" s="82"/>
      <c r="BM37" s="82"/>
      <c r="BN37" s="82"/>
      <c r="BO37" s="82"/>
      <c r="BP37" s="82"/>
      <c r="BQ37" s="82"/>
      <c r="BR37" s="82"/>
      <c r="BS37" s="82"/>
      <c r="BT37" s="82"/>
      <c r="BU37" s="82"/>
      <c r="BV37" s="82"/>
      <c r="BW37" s="82"/>
      <c r="BX37" s="82"/>
      <c r="BY37" s="82"/>
      <c r="BZ37" s="61"/>
    </row>
    <row r="38" spans="1:80" ht="13.8" thickBot="1" x14ac:dyDescent="0.3">
      <c r="A38" s="73" t="s">
        <v>78</v>
      </c>
      <c r="B38" s="137">
        <v>55000</v>
      </c>
      <c r="C38" s="138">
        <v>150000</v>
      </c>
      <c r="D38" s="138">
        <v>200000</v>
      </c>
      <c r="E38" s="138">
        <v>400000</v>
      </c>
      <c r="F38" s="138"/>
      <c r="G38" s="138">
        <v>125000</v>
      </c>
      <c r="H38" s="138">
        <v>400000</v>
      </c>
      <c r="I38" s="138">
        <v>150000</v>
      </c>
      <c r="J38" s="86"/>
      <c r="K38" s="138">
        <v>1800000</v>
      </c>
      <c r="L38" s="85"/>
      <c r="M38" s="138">
        <v>400000</v>
      </c>
      <c r="N38" s="138">
        <v>325000</v>
      </c>
      <c r="O38" s="138">
        <v>610000</v>
      </c>
      <c r="P38" s="138">
        <v>1150000</v>
      </c>
      <c r="Q38" s="85"/>
      <c r="R38" s="85"/>
      <c r="S38" s="85"/>
      <c r="T38" s="86"/>
      <c r="U38" s="85">
        <v>215000</v>
      </c>
      <c r="V38" s="85"/>
      <c r="W38" s="85">
        <v>100000</v>
      </c>
      <c r="X38" s="85">
        <v>500000</v>
      </c>
      <c r="Y38" s="85"/>
      <c r="Z38" s="85">
        <v>370000</v>
      </c>
      <c r="AA38" s="138">
        <v>175000</v>
      </c>
      <c r="AB38" s="85"/>
      <c r="AC38" s="85">
        <v>163000</v>
      </c>
      <c r="AD38" s="85">
        <v>165000</v>
      </c>
      <c r="AE38" s="139">
        <v>100000</v>
      </c>
      <c r="AF38" s="138">
        <v>200000</v>
      </c>
      <c r="AG38" s="85"/>
      <c r="AH38" s="138"/>
      <c r="AI38" s="138">
        <v>500000</v>
      </c>
      <c r="AJ38" s="85">
        <v>48000</v>
      </c>
      <c r="AK38" s="138">
        <v>65000</v>
      </c>
      <c r="AL38" s="85"/>
      <c r="AM38" s="138">
        <v>50000</v>
      </c>
      <c r="AN38" s="138">
        <v>2000000</v>
      </c>
      <c r="AO38" s="138">
        <v>2000000</v>
      </c>
      <c r="AP38" s="138">
        <v>690000</v>
      </c>
      <c r="AQ38" s="140"/>
      <c r="AR38" s="138">
        <v>185000</v>
      </c>
      <c r="AS38" s="138">
        <v>670000</v>
      </c>
      <c r="AT38" s="138">
        <v>210000</v>
      </c>
      <c r="AU38" s="138">
        <v>130000</v>
      </c>
      <c r="AV38" s="138">
        <v>1140000</v>
      </c>
      <c r="AW38" s="139">
        <v>420000</v>
      </c>
      <c r="AX38" s="138">
        <v>348000</v>
      </c>
      <c r="AY38" s="138"/>
      <c r="AZ38" s="138">
        <v>365000</v>
      </c>
      <c r="BA38" s="138">
        <v>1000000</v>
      </c>
      <c r="BB38" s="138">
        <v>20000</v>
      </c>
      <c r="BC38" s="138">
        <v>120000</v>
      </c>
      <c r="BD38" s="138">
        <v>400000</v>
      </c>
      <c r="BE38" s="138">
        <v>420000</v>
      </c>
      <c r="BF38" s="138">
        <v>350000</v>
      </c>
      <c r="BG38" s="138">
        <v>800000</v>
      </c>
      <c r="BH38" s="138">
        <v>750000</v>
      </c>
      <c r="BI38" s="138">
        <v>450000</v>
      </c>
      <c r="BJ38" s="138">
        <v>497000</v>
      </c>
      <c r="BK38" s="138">
        <v>550000</v>
      </c>
      <c r="BL38" s="138">
        <v>375000</v>
      </c>
      <c r="BM38" s="138">
        <v>325000</v>
      </c>
      <c r="BN38" s="138">
        <v>96000</v>
      </c>
      <c r="BO38" s="138">
        <v>475000</v>
      </c>
      <c r="BP38" s="138">
        <v>200000</v>
      </c>
      <c r="BQ38" s="138">
        <v>85000</v>
      </c>
      <c r="BR38" s="86"/>
      <c r="BS38" s="138">
        <v>240000</v>
      </c>
      <c r="BT38" s="85"/>
      <c r="BU38" s="138">
        <v>425000</v>
      </c>
      <c r="BV38" s="85"/>
      <c r="BW38" s="85"/>
      <c r="BX38" s="85"/>
      <c r="BY38" s="86"/>
      <c r="BZ38" s="61">
        <f>SUM(A38:BY38)</f>
        <v>24152000</v>
      </c>
    </row>
    <row r="39" spans="1:80" ht="13.8" thickBot="1" x14ac:dyDescent="0.3">
      <c r="A39" s="73" t="s">
        <v>131</v>
      </c>
      <c r="B39" s="84"/>
      <c r="C39" s="85"/>
      <c r="D39" s="85"/>
      <c r="E39" s="85"/>
      <c r="F39" s="85"/>
      <c r="G39" s="85"/>
      <c r="H39" s="85"/>
      <c r="I39" s="85"/>
      <c r="J39" s="86"/>
      <c r="K39" s="85"/>
      <c r="L39" s="85"/>
      <c r="M39" s="85"/>
      <c r="N39" s="85"/>
      <c r="O39" s="85"/>
      <c r="P39" s="85"/>
      <c r="Q39" s="85"/>
      <c r="R39" s="85"/>
      <c r="S39" s="85"/>
      <c r="T39" s="86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6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6"/>
      <c r="AX39" s="85"/>
      <c r="AY39" s="85"/>
      <c r="AZ39" s="85"/>
      <c r="BA39" s="143"/>
      <c r="BB39" s="143"/>
      <c r="BC39" s="143"/>
      <c r="BD39" s="143"/>
      <c r="BE39" s="143"/>
      <c r="BF39" s="143"/>
      <c r="BG39" s="144"/>
      <c r="BH39" s="144"/>
      <c r="BI39" s="143"/>
      <c r="BJ39" s="143"/>
      <c r="BK39" s="143"/>
      <c r="BL39" s="143"/>
      <c r="BM39" s="143"/>
      <c r="BN39" s="143"/>
      <c r="BO39" s="145"/>
      <c r="BP39" s="85"/>
      <c r="BQ39" s="85"/>
      <c r="BR39" s="86"/>
      <c r="BS39" s="85"/>
      <c r="BT39" s="85"/>
      <c r="BU39" s="85"/>
      <c r="BV39" s="85"/>
      <c r="BW39" s="85"/>
      <c r="BX39" s="85"/>
      <c r="BY39" s="86"/>
      <c r="BZ39" s="61">
        <f>SUM(B39:BY39)</f>
        <v>0</v>
      </c>
    </row>
    <row r="40" spans="1:80" ht="4.5" customHeight="1" x14ac:dyDescent="0.25">
      <c r="A40" s="73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BC40" s="82"/>
      <c r="BD40" s="82"/>
      <c r="BE40" s="82"/>
      <c r="BF40" s="82"/>
      <c r="BG40" s="82"/>
      <c r="BH40" s="82"/>
      <c r="BI40" s="82"/>
      <c r="BJ40" s="82"/>
      <c r="BK40" s="82"/>
      <c r="BL40" s="82"/>
      <c r="BM40" s="82"/>
      <c r="BN40" s="82"/>
      <c r="BO40" s="82"/>
      <c r="BP40" s="82"/>
      <c r="BQ40" s="82"/>
      <c r="BR40" s="82"/>
      <c r="BS40" s="82"/>
      <c r="BT40" s="82"/>
      <c r="BU40" s="82"/>
      <c r="BV40" s="82"/>
      <c r="BW40" s="82"/>
      <c r="BX40" s="82"/>
      <c r="BY40" s="82"/>
      <c r="BZ40" s="81"/>
    </row>
    <row r="41" spans="1:80" s="79" customFormat="1" x14ac:dyDescent="0.25">
      <c r="A41" s="79" t="s">
        <v>13</v>
      </c>
      <c r="B41" s="80">
        <f>B31-B33-B34-B35-B36-B38-B39</f>
        <v>-28133.849999999977</v>
      </c>
      <c r="C41" s="80">
        <f t="shared" ref="C41:AG41" si="8">C31-C33-C34-C35-C36-C38-C39</f>
        <v>-7647.2333333333372</v>
      </c>
      <c r="D41" s="80">
        <f t="shared" si="8"/>
        <v>-44162.164285714331</v>
      </c>
      <c r="E41" s="80">
        <f t="shared" si="8"/>
        <v>-258431.16309523815</v>
      </c>
      <c r="F41" s="80">
        <f t="shared" si="8"/>
        <v>24846.799999999988</v>
      </c>
      <c r="G41" s="80">
        <f t="shared" si="8"/>
        <v>92439.185714285704</v>
      </c>
      <c r="H41" s="80">
        <f t="shared" si="8"/>
        <v>-382976</v>
      </c>
      <c r="I41" s="80">
        <f t="shared" si="8"/>
        <v>-93462.683333333334</v>
      </c>
      <c r="J41" s="80">
        <f t="shared" si="8"/>
        <v>97454.480952380924</v>
      </c>
      <c r="K41" s="80">
        <f t="shared" si="8"/>
        <v>-1376634.1654761904</v>
      </c>
      <c r="L41" s="80">
        <f t="shared" si="8"/>
        <v>9567.4285714285215</v>
      </c>
      <c r="M41" s="80">
        <f t="shared" si="8"/>
        <v>-205482.44999999984</v>
      </c>
      <c r="N41" s="80">
        <f t="shared" si="8"/>
        <v>-108751.87142857141</v>
      </c>
      <c r="O41" s="80">
        <f t="shared" si="8"/>
        <v>124846.91833333345</v>
      </c>
      <c r="P41" s="80">
        <f t="shared" si="8"/>
        <v>-98467.507142857183</v>
      </c>
      <c r="Q41" s="80">
        <f t="shared" si="8"/>
        <v>22798.333333333314</v>
      </c>
      <c r="R41" s="80">
        <f t="shared" si="8"/>
        <v>35461.100000000006</v>
      </c>
      <c r="S41" s="80">
        <f t="shared" si="8"/>
        <v>65016.733333333337</v>
      </c>
      <c r="T41" s="80">
        <f t="shared" si="8"/>
        <v>-92074.28333333334</v>
      </c>
      <c r="U41" s="80">
        <f t="shared" si="8"/>
        <v>-83848.866666666669</v>
      </c>
      <c r="V41" s="80">
        <f t="shared" si="8"/>
        <v>218720.40000000002</v>
      </c>
      <c r="W41" s="80">
        <f t="shared" si="8"/>
        <v>-118193.42261904781</v>
      </c>
      <c r="X41" s="80">
        <f t="shared" si="8"/>
        <v>-47155.715476190322</v>
      </c>
      <c r="Y41" s="80">
        <f t="shared" si="8"/>
        <v>79496.439285714179</v>
      </c>
      <c r="Z41" s="80">
        <f t="shared" si="8"/>
        <v>-133214.76547619049</v>
      </c>
      <c r="AA41" s="80">
        <f t="shared" si="8"/>
        <v>66187.053571428522</v>
      </c>
      <c r="AB41" s="80">
        <f t="shared" si="8"/>
        <v>132635.39285714287</v>
      </c>
      <c r="AC41" s="80">
        <f t="shared" si="8"/>
        <v>-91011.657142857148</v>
      </c>
      <c r="AD41" s="80">
        <f t="shared" si="8"/>
        <v>-112438.43333333335</v>
      </c>
      <c r="AE41" s="80">
        <f t="shared" si="8"/>
        <v>4314.6964285714785</v>
      </c>
      <c r="AF41" s="80">
        <f t="shared" si="8"/>
        <v>48165.941666666651</v>
      </c>
      <c r="AG41" s="80">
        <f t="shared" si="8"/>
        <v>179426.39285714284</v>
      </c>
      <c r="AH41" s="80">
        <f t="shared" ref="AH41:BM41" si="9">AH31-AH33-AH34-AH35-AH36-AH38-AH39</f>
        <v>164584.9559523809</v>
      </c>
      <c r="AI41" s="80">
        <f t="shared" si="9"/>
        <v>-509618.03571428568</v>
      </c>
      <c r="AJ41" s="80">
        <f t="shared" si="9"/>
        <v>1592.1607142859139</v>
      </c>
      <c r="AK41" s="80">
        <f t="shared" si="9"/>
        <v>67830.765476190601</v>
      </c>
      <c r="AL41" s="80">
        <f t="shared" si="9"/>
        <v>3320.1607142857392</v>
      </c>
      <c r="AM41" s="80">
        <f t="shared" si="9"/>
        <v>155928.13095238095</v>
      </c>
      <c r="AN41" s="80">
        <f t="shared" si="9"/>
        <v>3044967.1309523806</v>
      </c>
      <c r="AO41" s="80">
        <f t="shared" si="9"/>
        <v>-1999999.7166666668</v>
      </c>
      <c r="AP41" s="80">
        <f t="shared" si="9"/>
        <v>-117472.42142857134</v>
      </c>
      <c r="AQ41" s="80">
        <f t="shared" si="9"/>
        <v>412696.625</v>
      </c>
      <c r="AR41" s="80">
        <f t="shared" si="9"/>
        <v>1878.1833333333489</v>
      </c>
      <c r="AS41" s="80">
        <f t="shared" si="9"/>
        <v>-116398.2333333334</v>
      </c>
      <c r="AT41" s="80">
        <f t="shared" si="9"/>
        <v>-57640.710714285728</v>
      </c>
      <c r="AU41" s="80">
        <f t="shared" si="9"/>
        <v>30969.783333333326</v>
      </c>
      <c r="AV41" s="80">
        <f t="shared" si="9"/>
        <v>-897315.79880952369</v>
      </c>
      <c r="AW41" s="80">
        <f t="shared" si="9"/>
        <v>-101198.29761904769</v>
      </c>
      <c r="AX41" s="80">
        <f t="shared" si="9"/>
        <v>18585.998809523764</v>
      </c>
      <c r="AY41" s="80">
        <f t="shared" si="9"/>
        <v>5032.7678571428405</v>
      </c>
      <c r="AZ41" s="80">
        <f t="shared" si="9"/>
        <v>65098.56190476194</v>
      </c>
      <c r="BA41" s="80">
        <f t="shared" si="9"/>
        <v>-792049.92976190487</v>
      </c>
      <c r="BB41" s="80">
        <f t="shared" si="9"/>
        <v>72579.298571428546</v>
      </c>
      <c r="BC41" s="80">
        <f t="shared" si="9"/>
        <v>-43937.210714285698</v>
      </c>
      <c r="BD41" s="80">
        <f t="shared" si="9"/>
        <v>-243804.4738095238</v>
      </c>
      <c r="BE41" s="80">
        <f t="shared" si="9"/>
        <v>-72311.413095238153</v>
      </c>
      <c r="BF41" s="80">
        <f t="shared" si="9"/>
        <v>-96292.828571428661</v>
      </c>
      <c r="BG41" s="80">
        <f t="shared" si="9"/>
        <v>-125133.57142857148</v>
      </c>
      <c r="BH41" s="80">
        <f t="shared" si="9"/>
        <v>-611654.37142857153</v>
      </c>
      <c r="BI41" s="80">
        <f t="shared" si="9"/>
        <v>-310876.83809523814</v>
      </c>
      <c r="BJ41" s="80">
        <f t="shared" si="9"/>
        <v>-445674.45952380955</v>
      </c>
      <c r="BK41" s="80">
        <f t="shared" si="9"/>
        <v>-465574.45119047619</v>
      </c>
      <c r="BL41" s="80">
        <f t="shared" si="9"/>
        <v>-193810.83928571426</v>
      </c>
      <c r="BM41" s="80">
        <f t="shared" si="9"/>
        <v>-237543.53571428571</v>
      </c>
      <c r="BN41" s="80">
        <f t="shared" ref="BN41:BZ41" si="10">BN31-BN33-BN34-BN35-BN36-BN38-BN39</f>
        <v>-42144.729761904775</v>
      </c>
      <c r="BO41" s="80">
        <f>BO31-BO33-BO34-BO35-BO36-BO38-BO39</f>
        <v>32349.851190476213</v>
      </c>
      <c r="BP41" s="80">
        <f t="shared" si="10"/>
        <v>54908.531904761912</v>
      </c>
      <c r="BQ41" s="80">
        <f t="shared" si="10"/>
        <v>12156.807142857142</v>
      </c>
      <c r="BR41" s="80">
        <f t="shared" si="10"/>
        <v>-127938.96666666666</v>
      </c>
      <c r="BS41" s="80">
        <f t="shared" si="10"/>
        <v>-135564.8880952381</v>
      </c>
      <c r="BT41" s="80">
        <f t="shared" si="10"/>
        <v>136984.06666666665</v>
      </c>
      <c r="BU41" s="80">
        <f t="shared" si="10"/>
        <v>-43271.820238095243</v>
      </c>
      <c r="BV41" s="80">
        <f t="shared" si="10"/>
        <v>891.03333333332557</v>
      </c>
      <c r="BW41" s="80">
        <f t="shared" si="10"/>
        <v>53120.333333333314</v>
      </c>
      <c r="BX41" s="80">
        <f t="shared" si="10"/>
        <v>0.33333333302289248</v>
      </c>
      <c r="BY41" s="80">
        <f>BY31-BY33-BY34-BY35-BY36-BY38-BY39</f>
        <v>7692583.5300000012</v>
      </c>
      <c r="BZ41" s="80">
        <f t="shared" si="10"/>
        <v>2160122.5335714296</v>
      </c>
    </row>
    <row r="42" spans="1:80" ht="4.5" customHeight="1" x14ac:dyDescent="0.25">
      <c r="BZ42" s="81"/>
    </row>
    <row r="43" spans="1:80" x14ac:dyDescent="0.25">
      <c r="A43" s="73" t="s">
        <v>136</v>
      </c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93"/>
      <c r="AL43" s="93"/>
      <c r="AM43" s="93"/>
      <c r="AN43" s="93"/>
      <c r="AO43" s="93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93"/>
      <c r="BG43" s="93"/>
      <c r="BH43" s="93"/>
      <c r="BI43" s="93"/>
      <c r="BJ43" s="93"/>
      <c r="BK43" s="93"/>
      <c r="BL43" s="93">
        <v>0</v>
      </c>
      <c r="BM43" s="93"/>
      <c r="BN43" s="93"/>
      <c r="BO43" s="93"/>
      <c r="BP43" s="93"/>
      <c r="BQ43" s="93"/>
      <c r="BR43" s="93"/>
      <c r="BS43" s="93"/>
      <c r="BT43" s="93"/>
      <c r="BU43" s="93"/>
      <c r="BV43" s="93"/>
      <c r="BW43" s="93"/>
      <c r="BX43" s="93"/>
      <c r="BY43" s="93"/>
      <c r="BZ43" s="61">
        <f t="shared" ref="BZ43:BZ49" si="11">SUM(B43:BY43)</f>
        <v>0</v>
      </c>
    </row>
    <row r="44" spans="1:80" x14ac:dyDescent="0.25">
      <c r="A44" s="73" t="s">
        <v>137</v>
      </c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64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104"/>
      <c r="BG44" s="104"/>
      <c r="BH44" s="104"/>
      <c r="BI44" s="93"/>
      <c r="BJ44" s="93"/>
      <c r="BK44" s="93"/>
      <c r="BL44" s="93"/>
      <c r="BM44" s="93"/>
      <c r="BN44" s="93"/>
      <c r="BO44" s="93"/>
      <c r="BP44" s="93"/>
      <c r="BQ44" s="93"/>
      <c r="BR44" s="93"/>
      <c r="BS44" s="93"/>
      <c r="BT44" s="93"/>
      <c r="BU44" s="93"/>
      <c r="BV44" s="93"/>
      <c r="BW44" s="93"/>
      <c r="BX44" s="93"/>
      <c r="BY44" s="93"/>
      <c r="BZ44" s="61">
        <f t="shared" si="11"/>
        <v>0</v>
      </c>
    </row>
    <row r="45" spans="1:80" ht="12.75" customHeight="1" x14ac:dyDescent="0.25">
      <c r="A45" s="63" t="s">
        <v>156</v>
      </c>
      <c r="B45" s="64"/>
      <c r="C45" s="64"/>
      <c r="D45" s="64"/>
      <c r="E45" s="64"/>
      <c r="F45" s="64"/>
      <c r="G45" s="64"/>
      <c r="H45" s="64"/>
      <c r="I45" s="64">
        <v>95000</v>
      </c>
      <c r="J45" s="64"/>
      <c r="K45" s="63">
        <v>742000</v>
      </c>
      <c r="L45" s="64"/>
      <c r="M45" s="64"/>
      <c r="N45" s="64">
        <v>45000</v>
      </c>
      <c r="O45" s="64"/>
      <c r="P45" s="64"/>
      <c r="R45" s="64"/>
      <c r="S45" s="64"/>
      <c r="T45" s="64"/>
      <c r="U45" s="64"/>
      <c r="W45" s="67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>
        <v>217000</v>
      </c>
      <c r="BH45" s="64">
        <v>80000</v>
      </c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>
        <v>1230000</v>
      </c>
      <c r="BZ45" s="61">
        <f t="shared" si="11"/>
        <v>2409000</v>
      </c>
      <c r="CB45" s="66"/>
    </row>
    <row r="46" spans="1:80" ht="12.75" customHeight="1" x14ac:dyDescent="0.25">
      <c r="A46" s="63" t="s">
        <v>157</v>
      </c>
      <c r="B46" s="64"/>
      <c r="C46" s="64"/>
      <c r="D46" s="95"/>
      <c r="E46" s="95"/>
      <c r="F46" s="64"/>
      <c r="G46" s="64"/>
      <c r="H46" s="68"/>
      <c r="I46" s="64"/>
      <c r="J46" s="64"/>
      <c r="K46" s="64"/>
      <c r="L46" s="64"/>
      <c r="M46" s="105"/>
      <c r="N46" s="105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105"/>
      <c r="AA46" s="64"/>
      <c r="AB46" s="64"/>
      <c r="AC46" s="105"/>
      <c r="AD46" s="64"/>
      <c r="AE46" s="105"/>
      <c r="AF46" s="64"/>
      <c r="AG46" s="64"/>
      <c r="AH46" s="64"/>
      <c r="AI46" s="64"/>
      <c r="AJ46" s="102"/>
      <c r="AK46" s="105"/>
      <c r="AL46" s="64"/>
      <c r="AM46" s="64"/>
      <c r="AN46" s="64"/>
      <c r="AO46" s="64"/>
      <c r="AP46" s="105"/>
      <c r="AQ46" s="64"/>
      <c r="AR46" s="64"/>
      <c r="AS46" s="64"/>
      <c r="AT46" s="64"/>
      <c r="AU46" s="64"/>
      <c r="AV46" s="64"/>
      <c r="AW46" s="103"/>
      <c r="AX46" s="64"/>
      <c r="AY46" s="64"/>
      <c r="AZ46" s="64"/>
      <c r="BA46" s="64"/>
      <c r="BB46" s="64"/>
      <c r="BC46" s="95"/>
      <c r="BD46" s="64"/>
      <c r="BE46" s="64"/>
      <c r="BF46" s="115">
        <v>70000</v>
      </c>
      <c r="BG46" s="64"/>
      <c r="BH46" s="64">
        <v>338000</v>
      </c>
      <c r="BI46" s="64">
        <v>252000</v>
      </c>
      <c r="BJ46" s="64"/>
      <c r="BK46" s="115">
        <v>370000</v>
      </c>
      <c r="BL46" s="64"/>
      <c r="BM46" s="64"/>
      <c r="BN46" s="64"/>
      <c r="BO46" s="64"/>
      <c r="BP46" s="105"/>
      <c r="BQ46" s="64"/>
      <c r="BR46" s="64"/>
      <c r="BS46" s="64"/>
      <c r="BT46" s="64"/>
      <c r="BU46" s="64"/>
      <c r="BV46" s="64"/>
      <c r="BW46" s="93"/>
      <c r="BX46" s="93"/>
      <c r="BY46" s="64">
        <v>400000</v>
      </c>
      <c r="BZ46" s="61">
        <f t="shared" si="11"/>
        <v>1430000</v>
      </c>
      <c r="CB46" s="66"/>
    </row>
    <row r="47" spans="1:80" ht="12.75" customHeight="1" x14ac:dyDescent="0.25">
      <c r="A47" s="63" t="s">
        <v>158</v>
      </c>
      <c r="B47" s="64"/>
      <c r="C47" s="64"/>
      <c r="D47" s="64">
        <v>45000</v>
      </c>
      <c r="E47" s="64">
        <v>153000</v>
      </c>
      <c r="F47" s="64"/>
      <c r="G47" s="64"/>
      <c r="H47" s="64"/>
      <c r="I47" s="64"/>
      <c r="J47" s="64"/>
      <c r="K47" s="64">
        <v>191000</v>
      </c>
      <c r="M47" s="64">
        <v>195000</v>
      </c>
      <c r="N47" s="64">
        <v>71000</v>
      </c>
      <c r="O47" s="64"/>
      <c r="P47" s="64"/>
      <c r="Q47" s="64"/>
      <c r="R47" s="64"/>
      <c r="S47" s="64"/>
      <c r="T47" s="64"/>
      <c r="U47" s="64"/>
      <c r="V47" s="64">
        <v>6000</v>
      </c>
      <c r="W47" s="67"/>
      <c r="X47" s="64"/>
      <c r="Y47" s="64"/>
      <c r="Z47" s="64"/>
      <c r="AB47" s="64"/>
      <c r="AC47" s="64"/>
      <c r="AD47" s="64"/>
      <c r="AE47" s="64"/>
      <c r="AF47" s="64"/>
      <c r="AG47" s="64"/>
      <c r="AH47" s="64"/>
      <c r="AI47" s="64">
        <v>400000</v>
      </c>
      <c r="AJ47" s="64"/>
      <c r="AK47" s="64"/>
      <c r="AL47" s="64"/>
      <c r="AM47" s="64"/>
      <c r="AN47" s="64"/>
      <c r="AO47" s="64"/>
      <c r="AP47" s="64"/>
      <c r="AQ47" s="64"/>
      <c r="AR47" s="64"/>
      <c r="AT47" s="64"/>
      <c r="AU47" s="64"/>
      <c r="AW47" s="64"/>
      <c r="AX47" s="64"/>
      <c r="AY47" s="64">
        <v>495000</v>
      </c>
      <c r="AZ47" s="64">
        <v>57000</v>
      </c>
      <c r="BA47" s="64"/>
      <c r="BB47" s="68"/>
      <c r="BC47" s="64"/>
      <c r="BD47" s="67">
        <v>48000</v>
      </c>
      <c r="BE47" s="117">
        <v>45000</v>
      </c>
      <c r="BF47" s="64"/>
      <c r="BG47" s="64"/>
      <c r="BH47" s="7"/>
      <c r="BI47" s="117"/>
      <c r="BJ47" s="117"/>
      <c r="BL47" s="64"/>
      <c r="BM47" s="64"/>
      <c r="BN47" s="64"/>
      <c r="BO47" s="64"/>
      <c r="BP47" s="64"/>
      <c r="BQ47" s="64"/>
      <c r="BR47" s="64"/>
      <c r="BS47" s="64">
        <v>15000</v>
      </c>
      <c r="BT47" s="64"/>
      <c r="BU47" s="64"/>
      <c r="BV47" s="64"/>
      <c r="BW47" s="64"/>
      <c r="BX47" s="64">
        <v>40000</v>
      </c>
      <c r="BY47" s="64">
        <v>800000</v>
      </c>
      <c r="BZ47" s="61">
        <f t="shared" si="11"/>
        <v>2561000</v>
      </c>
      <c r="CB47" s="66"/>
    </row>
    <row r="48" spans="1:80" ht="12.75" customHeight="1" x14ac:dyDescent="0.25">
      <c r="A48" s="63" t="s">
        <v>159</v>
      </c>
      <c r="B48" s="64"/>
      <c r="C48" s="64"/>
      <c r="D48" s="64"/>
      <c r="E48" s="64"/>
      <c r="F48" s="64"/>
      <c r="G48" s="64"/>
      <c r="H48" s="64"/>
      <c r="I48" s="64"/>
      <c r="J48" s="64"/>
      <c r="K48" s="105"/>
      <c r="L48" s="64"/>
      <c r="M48" s="105"/>
      <c r="N48" s="64"/>
      <c r="O48" s="64"/>
      <c r="P48" s="64"/>
      <c r="Q48" s="64"/>
      <c r="R48" s="64"/>
      <c r="S48" s="64"/>
      <c r="T48" s="64"/>
      <c r="U48" s="64"/>
      <c r="V48" s="64"/>
      <c r="W48" s="64"/>
      <c r="Y48" s="64"/>
      <c r="Z48" s="64">
        <v>185000</v>
      </c>
      <c r="AA48" s="64"/>
      <c r="AB48" s="64"/>
      <c r="AC48" s="64">
        <v>90000</v>
      </c>
      <c r="AD48" s="64"/>
      <c r="AE48" s="64"/>
      <c r="AG48" s="64"/>
      <c r="AH48" s="105"/>
      <c r="AI48" s="64"/>
      <c r="AJ48" s="64"/>
      <c r="AK48" s="64"/>
      <c r="AL48" s="64"/>
      <c r="AM48" s="64"/>
      <c r="AN48" s="64"/>
      <c r="AO48" s="64"/>
      <c r="AP48" s="64">
        <v>110000</v>
      </c>
      <c r="AQ48" s="64"/>
      <c r="AR48" s="64"/>
      <c r="AS48" s="64">
        <v>190000</v>
      </c>
      <c r="AT48" s="64">
        <v>50000</v>
      </c>
      <c r="AU48" s="64"/>
      <c r="AV48" s="64"/>
      <c r="AW48" s="105"/>
      <c r="AX48" s="64"/>
      <c r="AY48" s="64"/>
      <c r="AZ48" s="105"/>
      <c r="BA48" s="105"/>
      <c r="BB48" s="64"/>
      <c r="BD48" s="64"/>
      <c r="BF48" s="115"/>
      <c r="BG48" s="115"/>
      <c r="BH48" s="115">
        <v>70000</v>
      </c>
      <c r="BI48" s="115">
        <v>49000</v>
      </c>
      <c r="BJ48" s="115"/>
      <c r="BK48" s="115">
        <v>104000</v>
      </c>
      <c r="BL48" s="93">
        <v>59000</v>
      </c>
      <c r="BM48" s="115"/>
      <c r="BN48" s="108"/>
      <c r="BO48" s="115"/>
      <c r="BP48" s="115"/>
      <c r="BQ48" s="115"/>
      <c r="BR48" s="115"/>
      <c r="BS48" s="64">
        <v>84000</v>
      </c>
      <c r="BT48" s="64"/>
      <c r="BU48" s="64"/>
      <c r="BV48" s="64"/>
      <c r="BW48" s="64"/>
      <c r="BX48" s="64"/>
      <c r="BY48" s="64">
        <v>118000</v>
      </c>
      <c r="BZ48" s="61">
        <f t="shared" si="11"/>
        <v>1109000</v>
      </c>
      <c r="CB48" s="66"/>
    </row>
    <row r="49" spans="1:80" ht="12.75" customHeight="1" x14ac:dyDescent="0.25">
      <c r="A49" s="63" t="s">
        <v>160</v>
      </c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  <c r="BO49" s="64"/>
      <c r="BP49" s="64"/>
      <c r="BQ49" s="64"/>
      <c r="BR49" s="64"/>
      <c r="BS49" s="64"/>
      <c r="BT49" s="64"/>
      <c r="BU49" s="64"/>
      <c r="BV49" s="64"/>
      <c r="BW49" s="64"/>
      <c r="BX49" s="64"/>
      <c r="BY49" s="64"/>
      <c r="BZ49" s="61">
        <f t="shared" si="11"/>
        <v>0</v>
      </c>
    </row>
    <row r="50" spans="1:80" ht="12.75" customHeight="1" x14ac:dyDescent="0.25"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4"/>
      <c r="AL50" s="94"/>
      <c r="AM50" s="94"/>
      <c r="AN50" s="94"/>
      <c r="AO50" s="94"/>
      <c r="AP50" s="94"/>
      <c r="AQ50" s="94"/>
      <c r="AR50" s="94"/>
      <c r="AS50" s="94"/>
      <c r="AT50" s="94"/>
      <c r="AU50" s="94"/>
      <c r="AV50" s="94"/>
      <c r="AW50" s="94"/>
      <c r="AX50" s="94"/>
      <c r="AY50" s="94"/>
      <c r="AZ50" s="94"/>
      <c r="BA50" s="94"/>
      <c r="BB50" s="94"/>
      <c r="BC50" s="94"/>
      <c r="BD50" s="94"/>
      <c r="BE50" s="94"/>
      <c r="BF50" s="94"/>
      <c r="BG50" s="94"/>
      <c r="BH50" s="94"/>
      <c r="BI50" s="94"/>
      <c r="BJ50" s="94"/>
      <c r="BK50" s="94"/>
      <c r="BL50" s="94"/>
      <c r="BM50" s="94"/>
      <c r="BN50" s="94"/>
      <c r="BO50" s="94"/>
      <c r="BP50" s="94"/>
      <c r="BQ50" s="94"/>
      <c r="BR50" s="94"/>
      <c r="BS50" s="94"/>
      <c r="BT50" s="94"/>
      <c r="BU50" s="94"/>
      <c r="BV50" s="94"/>
      <c r="BW50" s="94"/>
      <c r="BX50" s="94"/>
      <c r="BY50" s="94"/>
      <c r="BZ50" s="61"/>
    </row>
    <row r="51" spans="1:80" s="79" customFormat="1" ht="13.5" customHeight="1" x14ac:dyDescent="0.25">
      <c r="A51" s="79" t="s">
        <v>194</v>
      </c>
      <c r="B51" s="80">
        <f t="shared" ref="B51:BM51" si="12">SUM(B41:B49)</f>
        <v>-28133.849999999977</v>
      </c>
      <c r="C51" s="80">
        <f t="shared" si="12"/>
        <v>-7647.2333333333372</v>
      </c>
      <c r="D51" s="80">
        <f t="shared" si="12"/>
        <v>837.83571428566938</v>
      </c>
      <c r="E51" s="80">
        <f t="shared" si="12"/>
        <v>-105431.16309523815</v>
      </c>
      <c r="F51" s="80">
        <f t="shared" si="12"/>
        <v>24846.799999999988</v>
      </c>
      <c r="G51" s="80">
        <f t="shared" si="12"/>
        <v>92439.185714285704</v>
      </c>
      <c r="H51" s="80">
        <f t="shared" si="12"/>
        <v>-382976</v>
      </c>
      <c r="I51" s="80">
        <f t="shared" si="12"/>
        <v>1537.3166666666657</v>
      </c>
      <c r="J51" s="80">
        <f t="shared" si="12"/>
        <v>97454.480952380924</v>
      </c>
      <c r="K51" s="80">
        <f t="shared" si="12"/>
        <v>-443634.16547619039</v>
      </c>
      <c r="L51" s="80">
        <f t="shared" si="12"/>
        <v>9567.4285714285215</v>
      </c>
      <c r="M51" s="80">
        <f t="shared" si="12"/>
        <v>-10482.449999999837</v>
      </c>
      <c r="N51" s="80">
        <f t="shared" si="12"/>
        <v>7248.1285714285914</v>
      </c>
      <c r="O51" s="80">
        <f t="shared" si="12"/>
        <v>124846.91833333345</v>
      </c>
      <c r="P51" s="80">
        <f t="shared" si="12"/>
        <v>-98467.507142857183</v>
      </c>
      <c r="Q51" s="80">
        <f t="shared" si="12"/>
        <v>22798.333333333314</v>
      </c>
      <c r="R51" s="80">
        <f t="shared" si="12"/>
        <v>35461.100000000006</v>
      </c>
      <c r="S51" s="80">
        <f t="shared" si="12"/>
        <v>65016.733333333337</v>
      </c>
      <c r="T51" s="80">
        <f t="shared" si="12"/>
        <v>-92074.28333333334</v>
      </c>
      <c r="U51" s="80">
        <f t="shared" si="12"/>
        <v>-83848.866666666669</v>
      </c>
      <c r="V51" s="80">
        <f t="shared" si="12"/>
        <v>224720.40000000002</v>
      </c>
      <c r="W51" s="80">
        <f t="shared" si="12"/>
        <v>-118193.42261904781</v>
      </c>
      <c r="X51" s="80">
        <f t="shared" si="12"/>
        <v>-47155.715476190322</v>
      </c>
      <c r="Y51" s="80">
        <f t="shared" si="12"/>
        <v>79496.439285714179</v>
      </c>
      <c r="Z51" s="80">
        <f t="shared" si="12"/>
        <v>51785.234523809515</v>
      </c>
      <c r="AA51" s="80">
        <f t="shared" si="12"/>
        <v>66187.053571428522</v>
      </c>
      <c r="AB51" s="80">
        <f t="shared" si="12"/>
        <v>132635.39285714287</v>
      </c>
      <c r="AC51" s="80">
        <f t="shared" si="12"/>
        <v>-1011.6571428571478</v>
      </c>
      <c r="AD51" s="80">
        <f t="shared" si="12"/>
        <v>-112438.43333333335</v>
      </c>
      <c r="AE51" s="80">
        <f t="shared" si="12"/>
        <v>4314.6964285714785</v>
      </c>
      <c r="AF51" s="80">
        <f t="shared" si="12"/>
        <v>48165.941666666651</v>
      </c>
      <c r="AG51" s="80">
        <f t="shared" si="12"/>
        <v>179426.39285714284</v>
      </c>
      <c r="AH51" s="80">
        <f t="shared" si="12"/>
        <v>164584.9559523809</v>
      </c>
      <c r="AI51" s="80">
        <f t="shared" si="12"/>
        <v>-109618.03571428568</v>
      </c>
      <c r="AJ51" s="80">
        <f t="shared" si="12"/>
        <v>1592.1607142859139</v>
      </c>
      <c r="AK51" s="80">
        <f t="shared" si="12"/>
        <v>67830.765476190601</v>
      </c>
      <c r="AL51" s="80">
        <f t="shared" si="12"/>
        <v>3320.1607142857392</v>
      </c>
      <c r="AM51" s="80">
        <f t="shared" si="12"/>
        <v>155928.13095238095</v>
      </c>
      <c r="AN51" s="80">
        <f t="shared" si="12"/>
        <v>3044967.1309523806</v>
      </c>
      <c r="AO51" s="80">
        <f t="shared" si="12"/>
        <v>-1999999.7166666668</v>
      </c>
      <c r="AP51" s="80">
        <f t="shared" si="12"/>
        <v>-7472.4214285713388</v>
      </c>
      <c r="AQ51" s="80">
        <f t="shared" si="12"/>
        <v>412696.625</v>
      </c>
      <c r="AR51" s="80">
        <f t="shared" si="12"/>
        <v>1878.1833333333489</v>
      </c>
      <c r="AS51" s="80">
        <f t="shared" si="12"/>
        <v>73601.766666666605</v>
      </c>
      <c r="AT51" s="80">
        <f t="shared" si="12"/>
        <v>-7640.7107142857276</v>
      </c>
      <c r="AU51" s="80">
        <f t="shared" si="12"/>
        <v>30969.783333333326</v>
      </c>
      <c r="AV51" s="80">
        <f t="shared" si="12"/>
        <v>-897315.79880952369</v>
      </c>
      <c r="AW51" s="80">
        <f t="shared" si="12"/>
        <v>-101198.29761904769</v>
      </c>
      <c r="AX51" s="80">
        <f t="shared" si="12"/>
        <v>18585.998809523764</v>
      </c>
      <c r="AY51" s="80">
        <f t="shared" si="12"/>
        <v>500032.76785714284</v>
      </c>
      <c r="AZ51" s="80">
        <f t="shared" si="12"/>
        <v>122098.56190476194</v>
      </c>
      <c r="BA51" s="80">
        <f t="shared" si="12"/>
        <v>-792049.92976190487</v>
      </c>
      <c r="BB51" s="80">
        <f t="shared" si="12"/>
        <v>72579.298571428546</v>
      </c>
      <c r="BC51" s="80">
        <f t="shared" si="12"/>
        <v>-43937.210714285698</v>
      </c>
      <c r="BD51" s="80">
        <f t="shared" si="12"/>
        <v>-195804.4738095238</v>
      </c>
      <c r="BE51" s="80">
        <f t="shared" si="12"/>
        <v>-27311.413095238153</v>
      </c>
      <c r="BF51" s="80">
        <f t="shared" si="12"/>
        <v>-26292.828571428661</v>
      </c>
      <c r="BG51" s="80">
        <f t="shared" si="12"/>
        <v>91866.428571428522</v>
      </c>
      <c r="BH51" s="80">
        <f t="shared" si="12"/>
        <v>-123654.37142857153</v>
      </c>
      <c r="BI51" s="80">
        <f t="shared" si="12"/>
        <v>-9876.8380952381412</v>
      </c>
      <c r="BJ51" s="80">
        <f t="shared" si="12"/>
        <v>-445674.45952380955</v>
      </c>
      <c r="BK51" s="80">
        <f t="shared" si="12"/>
        <v>8425.5488095238106</v>
      </c>
      <c r="BL51" s="80">
        <f t="shared" si="12"/>
        <v>-134810.83928571426</v>
      </c>
      <c r="BM51" s="80">
        <f t="shared" si="12"/>
        <v>-237543.53571428571</v>
      </c>
      <c r="BN51" s="80">
        <f>SUM(BN41:BN49)</f>
        <v>-42144.729761904775</v>
      </c>
      <c r="BO51" s="80">
        <f t="shared" ref="BO51:BY51" si="13">SUM(BO41:BO49)</f>
        <v>32349.851190476213</v>
      </c>
      <c r="BP51" s="80">
        <f t="shared" si="13"/>
        <v>54908.531904761912</v>
      </c>
      <c r="BQ51" s="80">
        <f t="shared" si="13"/>
        <v>12156.807142857142</v>
      </c>
      <c r="BR51" s="80">
        <f t="shared" si="13"/>
        <v>-127938.96666666666</v>
      </c>
      <c r="BS51" s="80">
        <f t="shared" si="13"/>
        <v>-36564.888095238101</v>
      </c>
      <c r="BT51" s="80">
        <f t="shared" si="13"/>
        <v>136984.06666666665</v>
      </c>
      <c r="BU51" s="80">
        <f t="shared" si="13"/>
        <v>-43271.820238095243</v>
      </c>
      <c r="BV51" s="80">
        <f t="shared" si="13"/>
        <v>891.03333333332557</v>
      </c>
      <c r="BW51" s="80">
        <f>SUM(BW41:BW49)</f>
        <v>53120.333333333314</v>
      </c>
      <c r="BX51" s="80">
        <f t="shared" si="13"/>
        <v>40000.333333333023</v>
      </c>
      <c r="BY51" s="80">
        <f t="shared" si="13"/>
        <v>10240583.530000001</v>
      </c>
      <c r="BZ51" s="80">
        <f>SUM(BZ34:BZ42)</f>
        <v>26312122.53357143</v>
      </c>
    </row>
    <row r="52" spans="1:80" x14ac:dyDescent="0.25">
      <c r="A52" s="63" t="s">
        <v>156</v>
      </c>
      <c r="B52" s="64"/>
      <c r="C52" s="115"/>
      <c r="D52" s="64"/>
      <c r="E52" s="64"/>
      <c r="F52" s="64"/>
      <c r="G52" s="64"/>
      <c r="H52" s="64"/>
      <c r="I52" s="64"/>
      <c r="J52" s="64"/>
      <c r="K52" s="64">
        <v>400000</v>
      </c>
      <c r="L52" s="64"/>
      <c r="M52" s="64"/>
      <c r="N52" s="64"/>
      <c r="O52" s="64"/>
      <c r="P52" s="67"/>
      <c r="Q52" s="64"/>
      <c r="R52" s="64"/>
      <c r="S52" s="64"/>
      <c r="T52" s="115">
        <v>92000</v>
      </c>
      <c r="U52" s="64"/>
      <c r="V52" s="64"/>
      <c r="W52" s="67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5"/>
      <c r="AM52" s="64"/>
      <c r="AN52" s="64">
        <v>350000</v>
      </c>
      <c r="AO52" s="64">
        <v>1690000</v>
      </c>
      <c r="AP52" s="64"/>
      <c r="AQ52" s="64"/>
      <c r="AR52" s="108">
        <v>8000</v>
      </c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>
        <v>40000</v>
      </c>
      <c r="BH52" s="64"/>
      <c r="BI52" s="64"/>
      <c r="BJ52" s="64"/>
      <c r="BK52" s="64"/>
      <c r="BL52" s="64"/>
      <c r="BM52" s="64"/>
      <c r="BN52" s="64"/>
      <c r="BO52" s="64">
        <v>30000</v>
      </c>
      <c r="BP52" s="64"/>
      <c r="BQ52" s="64"/>
      <c r="BR52" s="64">
        <v>30000</v>
      </c>
      <c r="BS52" s="64"/>
      <c r="BT52" s="64"/>
      <c r="BU52" s="64"/>
      <c r="BV52" s="64"/>
      <c r="BW52" s="65"/>
      <c r="BX52" s="65"/>
      <c r="BY52" s="64">
        <v>-2550000</v>
      </c>
      <c r="BZ52" s="61">
        <f>SUM(B52:BY52)</f>
        <v>90000</v>
      </c>
      <c r="CB52" s="66">
        <f>BZ52+BZ38</f>
        <v>24242000</v>
      </c>
    </row>
    <row r="53" spans="1:80" x14ac:dyDescent="0.25">
      <c r="A53" s="63" t="s">
        <v>157</v>
      </c>
      <c r="B53" s="67"/>
      <c r="C53" s="67"/>
      <c r="D53" s="64"/>
      <c r="E53" s="67"/>
      <c r="F53" s="64"/>
      <c r="G53" s="64"/>
      <c r="H53" s="64"/>
      <c r="I53" s="64"/>
      <c r="J53" s="67"/>
      <c r="K53" s="64"/>
      <c r="L53" s="64"/>
      <c r="M53" s="67"/>
      <c r="N53" s="64"/>
      <c r="O53" s="111"/>
      <c r="P53" s="64"/>
      <c r="Q53" s="65"/>
      <c r="R53" s="64"/>
      <c r="S53" s="64"/>
      <c r="T53" s="64"/>
      <c r="U53" s="64"/>
      <c r="V53" s="64"/>
      <c r="W53" s="64"/>
      <c r="X53" s="67"/>
      <c r="Y53" s="64"/>
      <c r="Z53" s="67"/>
      <c r="AA53" s="67"/>
      <c r="AB53" s="64"/>
      <c r="AC53" s="64"/>
      <c r="AD53" s="64"/>
      <c r="AE53" s="64"/>
      <c r="AF53" s="163"/>
      <c r="AG53" s="64"/>
      <c r="AH53" s="64"/>
      <c r="AI53" s="64"/>
      <c r="AJ53" s="64"/>
      <c r="AK53" s="163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7"/>
      <c r="AW53" s="64"/>
      <c r="AX53" s="64"/>
      <c r="AY53" s="64"/>
      <c r="AZ53" s="64"/>
      <c r="BA53" s="64"/>
      <c r="BB53" s="102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  <c r="BO53" s="102"/>
      <c r="BP53" s="64"/>
      <c r="BQ53" s="64"/>
      <c r="BR53" s="64"/>
      <c r="BS53" s="64"/>
      <c r="BT53" s="64"/>
      <c r="BU53" s="64"/>
      <c r="BV53" s="64"/>
      <c r="BW53" s="65"/>
      <c r="BX53" s="65"/>
      <c r="BY53" s="64"/>
      <c r="BZ53" s="61">
        <f>SUM(B53:BY53)</f>
        <v>0</v>
      </c>
      <c r="CB53" s="66">
        <f>BZ53+BZ39</f>
        <v>0</v>
      </c>
    </row>
    <row r="54" spans="1:80" x14ac:dyDescent="0.25">
      <c r="A54" s="63" t="s">
        <v>158</v>
      </c>
      <c r="B54" s="64"/>
      <c r="C54" s="64"/>
      <c r="D54" s="64"/>
      <c r="E54" s="64"/>
      <c r="F54" s="64"/>
      <c r="G54" s="67">
        <v>217000</v>
      </c>
      <c r="H54" s="67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7"/>
      <c r="X54" s="67"/>
      <c r="Y54" s="64">
        <v>409000</v>
      </c>
      <c r="Z54" s="64">
        <v>15000</v>
      </c>
      <c r="AA54" s="64"/>
      <c r="AB54" s="64">
        <v>242000</v>
      </c>
      <c r="AC54" s="64"/>
      <c r="AD54" s="64"/>
      <c r="AE54" s="64"/>
      <c r="AF54" s="64">
        <v>136000</v>
      </c>
      <c r="AG54" s="64">
        <v>321000</v>
      </c>
      <c r="AH54" s="64"/>
      <c r="AI54" s="64"/>
      <c r="AJ54" s="64"/>
      <c r="AK54" s="64"/>
      <c r="AL54" s="64"/>
      <c r="AM54" s="64"/>
      <c r="AN54" s="106"/>
      <c r="AO54" s="64"/>
      <c r="AP54" s="64"/>
      <c r="AQ54" s="64"/>
      <c r="AR54" s="64"/>
      <c r="AS54" s="64"/>
      <c r="AT54" s="64"/>
      <c r="AU54" s="64"/>
      <c r="AV54" s="64"/>
      <c r="AW54" s="67"/>
      <c r="AX54" s="67"/>
      <c r="AY54" s="64"/>
      <c r="AZ54" s="64"/>
      <c r="BA54" s="64"/>
      <c r="BB54" s="64"/>
      <c r="BC54" s="64"/>
      <c r="BD54" s="67"/>
      <c r="BE54" s="67"/>
      <c r="BF54" s="64"/>
      <c r="BG54" s="67"/>
      <c r="BH54" s="64"/>
      <c r="BI54" s="67"/>
      <c r="BJ54" s="67"/>
      <c r="BK54" s="7"/>
      <c r="BL54" s="64"/>
      <c r="BM54" s="64"/>
      <c r="BN54" s="64"/>
      <c r="BO54" s="64"/>
      <c r="BP54" s="64"/>
      <c r="BQ54" s="64"/>
      <c r="BR54" s="64"/>
      <c r="BS54" s="64"/>
      <c r="BT54" s="64"/>
      <c r="BU54" s="64">
        <v>31000</v>
      </c>
      <c r="BV54" s="64"/>
      <c r="BW54" s="65"/>
      <c r="BX54" s="65">
        <v>49000</v>
      </c>
      <c r="BY54" s="64">
        <v>-1420000</v>
      </c>
      <c r="BZ54" s="61">
        <f>SUM(B54:BY54)</f>
        <v>0</v>
      </c>
      <c r="CB54" s="66">
        <f>BZ54+BZ40</f>
        <v>0</v>
      </c>
    </row>
    <row r="55" spans="1:80" x14ac:dyDescent="0.25">
      <c r="A55" s="63" t="s">
        <v>159</v>
      </c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7"/>
      <c r="X55" s="64"/>
      <c r="Y55" s="64"/>
      <c r="Z55" s="64"/>
      <c r="AA55" s="67"/>
      <c r="AB55" s="64"/>
      <c r="AC55" s="64"/>
      <c r="AD55" s="64"/>
      <c r="AE55" s="64"/>
      <c r="AF55" s="64"/>
      <c r="AG55" s="93" t="s">
        <v>190</v>
      </c>
      <c r="AH55" s="64"/>
      <c r="AI55" s="93"/>
      <c r="AJ55" s="64"/>
      <c r="AK55" s="64"/>
      <c r="AL55" s="93"/>
      <c r="AM55" s="64"/>
      <c r="AN55" s="93"/>
      <c r="AO55" s="93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93"/>
      <c r="BE55" s="64"/>
      <c r="BF55" s="64"/>
      <c r="BG55" s="64"/>
      <c r="BH55" s="64"/>
      <c r="BI55" s="64"/>
      <c r="BJ55" s="64"/>
      <c r="BK55" s="64"/>
      <c r="BL55" s="93"/>
      <c r="BM55" s="64"/>
      <c r="BN55" s="64"/>
      <c r="BO55" s="64"/>
      <c r="BP55" s="64"/>
      <c r="BQ55" s="64"/>
      <c r="BR55" s="64"/>
      <c r="BS55" s="64"/>
      <c r="BT55" s="64"/>
      <c r="BU55" s="64"/>
      <c r="BV55" s="64"/>
      <c r="BW55" s="65"/>
      <c r="BX55" s="65"/>
      <c r="BY55" s="64"/>
      <c r="BZ55" s="61">
        <f>SUM(B55:BY55)</f>
        <v>0</v>
      </c>
      <c r="CB55" s="66">
        <f>BZ55+BZ41</f>
        <v>2160122.5335714296</v>
      </c>
    </row>
    <row r="56" spans="1:80" ht="12" customHeight="1" x14ac:dyDescent="0.25"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94"/>
      <c r="AG56" s="94"/>
      <c r="AH56" s="94"/>
      <c r="AI56" s="94"/>
      <c r="AJ56" s="94"/>
      <c r="AK56" s="94"/>
      <c r="AL56" s="94"/>
      <c r="AM56" s="94"/>
      <c r="AN56" s="94"/>
      <c r="AO56" s="94"/>
      <c r="AP56" s="94"/>
      <c r="AQ56" s="94"/>
      <c r="AR56" s="94"/>
      <c r="AS56" s="94"/>
      <c r="AT56" s="94"/>
      <c r="AU56" s="94"/>
      <c r="AV56" s="94"/>
      <c r="AW56" s="94"/>
      <c r="AX56" s="94"/>
      <c r="AY56" s="94"/>
      <c r="AZ56" s="94"/>
      <c r="BA56" s="94"/>
      <c r="BB56" s="94"/>
      <c r="BC56" s="94"/>
      <c r="BD56" s="94"/>
      <c r="BE56" s="94"/>
      <c r="BF56" s="94"/>
      <c r="BG56" s="94"/>
      <c r="BH56" s="94"/>
      <c r="BI56" s="94"/>
      <c r="BJ56" s="94"/>
      <c r="BK56" s="94"/>
      <c r="BL56" s="94"/>
      <c r="BM56" s="94"/>
      <c r="BN56" s="94"/>
      <c r="BO56" s="94"/>
      <c r="BP56" s="94"/>
      <c r="BQ56" s="94"/>
      <c r="BR56" s="94"/>
      <c r="BS56" s="94"/>
      <c r="BT56" s="94"/>
      <c r="BU56" s="94"/>
      <c r="BV56" s="94"/>
      <c r="BW56" s="94"/>
      <c r="BX56" s="94"/>
      <c r="BY56" s="94"/>
      <c r="BZ56" s="81"/>
    </row>
    <row r="57" spans="1:80" s="79" customFormat="1" ht="13.5" customHeight="1" x14ac:dyDescent="0.25">
      <c r="A57" s="79" t="s">
        <v>199</v>
      </c>
      <c r="B57" s="80">
        <f t="shared" ref="B57:J57" si="14">SUM(B51:B55)</f>
        <v>-28133.849999999977</v>
      </c>
      <c r="C57" s="80">
        <f t="shared" si="14"/>
        <v>-7647.2333333333372</v>
      </c>
      <c r="D57" s="80">
        <f t="shared" si="14"/>
        <v>837.83571428566938</v>
      </c>
      <c r="E57" s="80">
        <f t="shared" si="14"/>
        <v>-105431.16309523815</v>
      </c>
      <c r="F57" s="80">
        <f t="shared" si="14"/>
        <v>24846.799999999988</v>
      </c>
      <c r="G57" s="80">
        <f t="shared" si="14"/>
        <v>309439.1857142857</v>
      </c>
      <c r="H57" s="80">
        <f t="shared" si="14"/>
        <v>-382976</v>
      </c>
      <c r="I57" s="80">
        <f t="shared" si="14"/>
        <v>1537.3166666666657</v>
      </c>
      <c r="J57" s="80">
        <f t="shared" si="14"/>
        <v>97454.480952380924</v>
      </c>
      <c r="K57" s="80">
        <f>SUM(K51:K55)</f>
        <v>-43634.165476190392</v>
      </c>
      <c r="L57" s="80">
        <f t="shared" ref="L57:BW57" si="15">SUM(L51:L55)</f>
        <v>9567.4285714285215</v>
      </c>
      <c r="M57" s="80">
        <f t="shared" si="15"/>
        <v>-10482.449999999837</v>
      </c>
      <c r="N57" s="80">
        <f t="shared" si="15"/>
        <v>7248.1285714285914</v>
      </c>
      <c r="O57" s="80">
        <f t="shared" si="15"/>
        <v>124846.91833333345</v>
      </c>
      <c r="P57" s="80">
        <f t="shared" si="15"/>
        <v>-98467.507142857183</v>
      </c>
      <c r="Q57" s="80">
        <f t="shared" si="15"/>
        <v>22798.333333333314</v>
      </c>
      <c r="R57" s="80">
        <f t="shared" si="15"/>
        <v>35461.100000000006</v>
      </c>
      <c r="S57" s="80">
        <f t="shared" si="15"/>
        <v>65016.733333333337</v>
      </c>
      <c r="T57" s="80">
        <f t="shared" si="15"/>
        <v>-74.283333333340124</v>
      </c>
      <c r="U57" s="80">
        <f t="shared" si="15"/>
        <v>-83848.866666666669</v>
      </c>
      <c r="V57" s="80">
        <f t="shared" si="15"/>
        <v>224720.40000000002</v>
      </c>
      <c r="W57" s="80">
        <f t="shared" si="15"/>
        <v>-118193.42261904781</v>
      </c>
      <c r="X57" s="80">
        <f t="shared" si="15"/>
        <v>-47155.715476190322</v>
      </c>
      <c r="Y57" s="80">
        <f t="shared" si="15"/>
        <v>488496.43928571418</v>
      </c>
      <c r="Z57" s="80">
        <f t="shared" si="15"/>
        <v>66785.234523809515</v>
      </c>
      <c r="AA57" s="80">
        <f t="shared" si="15"/>
        <v>66187.053571428522</v>
      </c>
      <c r="AB57" s="80">
        <f t="shared" si="15"/>
        <v>374635.39285714284</v>
      </c>
      <c r="AC57" s="80">
        <f t="shared" si="15"/>
        <v>-1011.6571428571478</v>
      </c>
      <c r="AD57" s="80">
        <f t="shared" si="15"/>
        <v>-112438.43333333335</v>
      </c>
      <c r="AE57" s="80">
        <f t="shared" si="15"/>
        <v>4314.6964285714785</v>
      </c>
      <c r="AF57" s="80">
        <f t="shared" si="15"/>
        <v>184165.94166666665</v>
      </c>
      <c r="AG57" s="80">
        <f t="shared" si="15"/>
        <v>500426.39285714284</v>
      </c>
      <c r="AH57" s="80">
        <f t="shared" si="15"/>
        <v>164584.9559523809</v>
      </c>
      <c r="AI57" s="80">
        <f t="shared" si="15"/>
        <v>-109618.03571428568</v>
      </c>
      <c r="AJ57" s="80">
        <f t="shared" si="15"/>
        <v>1592.1607142859139</v>
      </c>
      <c r="AK57" s="80">
        <f t="shared" si="15"/>
        <v>67830.765476190601</v>
      </c>
      <c r="AL57" s="80">
        <f t="shared" si="15"/>
        <v>3320.1607142857392</v>
      </c>
      <c r="AM57" s="80">
        <f t="shared" si="15"/>
        <v>155928.13095238095</v>
      </c>
      <c r="AN57" s="80">
        <f t="shared" si="15"/>
        <v>3394967.1309523806</v>
      </c>
      <c r="AO57" s="80">
        <f t="shared" si="15"/>
        <v>-309999.71666666679</v>
      </c>
      <c r="AP57" s="80">
        <f t="shared" si="15"/>
        <v>-7472.4214285713388</v>
      </c>
      <c r="AQ57" s="80">
        <f t="shared" si="15"/>
        <v>412696.625</v>
      </c>
      <c r="AR57" s="80">
        <f t="shared" si="15"/>
        <v>9878.1833333333489</v>
      </c>
      <c r="AS57" s="80">
        <f t="shared" si="15"/>
        <v>73601.766666666605</v>
      </c>
      <c r="AT57" s="80">
        <f t="shared" si="15"/>
        <v>-7640.7107142857276</v>
      </c>
      <c r="AU57" s="80">
        <f t="shared" si="15"/>
        <v>30969.783333333326</v>
      </c>
      <c r="AV57" s="80">
        <f t="shared" si="15"/>
        <v>-897315.79880952369</v>
      </c>
      <c r="AW57" s="80">
        <f t="shared" si="15"/>
        <v>-101198.29761904769</v>
      </c>
      <c r="AX57" s="80">
        <f t="shared" si="15"/>
        <v>18585.998809523764</v>
      </c>
      <c r="AY57" s="80">
        <f t="shared" si="15"/>
        <v>500032.76785714284</v>
      </c>
      <c r="AZ57" s="80">
        <f t="shared" si="15"/>
        <v>122098.56190476194</v>
      </c>
      <c r="BA57" s="80">
        <f t="shared" si="15"/>
        <v>-792049.92976190487</v>
      </c>
      <c r="BB57" s="80">
        <f t="shared" si="15"/>
        <v>72579.298571428546</v>
      </c>
      <c r="BC57" s="80">
        <f t="shared" si="15"/>
        <v>-43937.210714285698</v>
      </c>
      <c r="BD57" s="80">
        <f t="shared" si="15"/>
        <v>-195804.4738095238</v>
      </c>
      <c r="BE57" s="80">
        <f t="shared" si="15"/>
        <v>-27311.413095238153</v>
      </c>
      <c r="BF57" s="80">
        <f t="shared" si="15"/>
        <v>-26292.828571428661</v>
      </c>
      <c r="BG57" s="80">
        <f t="shared" si="15"/>
        <v>131866.42857142852</v>
      </c>
      <c r="BH57" s="80">
        <f t="shared" si="15"/>
        <v>-123654.37142857153</v>
      </c>
      <c r="BI57" s="80">
        <f t="shared" si="15"/>
        <v>-9876.8380952381412</v>
      </c>
      <c r="BJ57" s="80">
        <f t="shared" si="15"/>
        <v>-445674.45952380955</v>
      </c>
      <c r="BK57" s="80">
        <f t="shared" si="15"/>
        <v>8425.5488095238106</v>
      </c>
      <c r="BL57" s="80">
        <f t="shared" si="15"/>
        <v>-134810.83928571426</v>
      </c>
      <c r="BM57" s="80">
        <f t="shared" si="15"/>
        <v>-237543.53571428571</v>
      </c>
      <c r="BN57" s="80">
        <f t="shared" si="15"/>
        <v>-42144.729761904775</v>
      </c>
      <c r="BO57" s="80">
        <f t="shared" si="15"/>
        <v>62349.851190476213</v>
      </c>
      <c r="BP57" s="80">
        <f t="shared" si="15"/>
        <v>54908.531904761912</v>
      </c>
      <c r="BQ57" s="80">
        <f t="shared" si="15"/>
        <v>12156.807142857142</v>
      </c>
      <c r="BR57" s="80">
        <f t="shared" si="15"/>
        <v>-97938.96666666666</v>
      </c>
      <c r="BS57" s="80">
        <f t="shared" si="15"/>
        <v>-36564.888095238101</v>
      </c>
      <c r="BT57" s="80">
        <f t="shared" si="15"/>
        <v>136984.06666666665</v>
      </c>
      <c r="BU57" s="80">
        <f t="shared" si="15"/>
        <v>-12271.820238095243</v>
      </c>
      <c r="BV57" s="80">
        <f t="shared" si="15"/>
        <v>891.03333333332557</v>
      </c>
      <c r="BW57" s="80">
        <f t="shared" si="15"/>
        <v>53120.333333333314</v>
      </c>
      <c r="BX57" s="80">
        <f>SUM(BX51:BX55)</f>
        <v>89000.333333333023</v>
      </c>
      <c r="BY57" s="80">
        <f>SUM(BY51:BY55)</f>
        <v>6270583.5300000012</v>
      </c>
      <c r="BZ57" s="80">
        <f>SUM(BZ41:BZ49)</f>
        <v>9669122.5335714296</v>
      </c>
    </row>
    <row r="58" spans="1:80" x14ac:dyDescent="0.25">
      <c r="A58" s="63" t="s">
        <v>151</v>
      </c>
      <c r="B58" s="115">
        <v>30000</v>
      </c>
      <c r="C58" s="93"/>
      <c r="D58" s="115"/>
      <c r="E58" s="64">
        <v>6000</v>
      </c>
      <c r="F58" s="115"/>
      <c r="G58" s="115"/>
      <c r="H58" s="115">
        <v>400000</v>
      </c>
      <c r="I58" s="115"/>
      <c r="J58" s="115"/>
      <c r="K58" s="115">
        <v>99000</v>
      </c>
      <c r="L58" s="115"/>
      <c r="M58" s="115"/>
      <c r="N58" s="115"/>
      <c r="O58" s="108"/>
      <c r="P58" s="64"/>
      <c r="Q58" s="115"/>
      <c r="R58" s="115"/>
      <c r="S58" s="115"/>
      <c r="T58" s="115"/>
      <c r="U58" s="115"/>
      <c r="V58" s="115"/>
      <c r="W58" s="116"/>
      <c r="X58" s="115"/>
      <c r="Y58" s="115"/>
      <c r="Z58" s="115"/>
      <c r="AA58" s="115"/>
      <c r="AB58" s="115"/>
      <c r="AC58" s="115"/>
      <c r="AD58" s="115"/>
      <c r="AE58" s="115"/>
      <c r="AF58" s="115"/>
      <c r="AG58" s="115"/>
      <c r="AH58" s="115"/>
      <c r="AI58" s="115"/>
      <c r="AJ58" s="115"/>
      <c r="AK58" s="115"/>
      <c r="AL58" s="116"/>
      <c r="AM58" s="115"/>
      <c r="AN58" s="115"/>
      <c r="AO58" s="119">
        <v>310000</v>
      </c>
      <c r="AP58" s="64"/>
      <c r="AQ58" s="115"/>
      <c r="AR58" s="108"/>
      <c r="AS58" s="115"/>
      <c r="AT58" s="115"/>
      <c r="AU58" s="115"/>
      <c r="AV58" s="115"/>
      <c r="AW58" s="115"/>
      <c r="AX58" s="115"/>
      <c r="AY58" s="115"/>
      <c r="AZ58" s="115"/>
      <c r="BA58" s="115"/>
      <c r="BB58" s="115"/>
      <c r="BC58" s="115">
        <v>20000</v>
      </c>
      <c r="BD58" s="115"/>
      <c r="BE58" s="115"/>
      <c r="BF58" s="115"/>
      <c r="BG58" s="115"/>
      <c r="BH58" s="115">
        <v>100000</v>
      </c>
      <c r="BI58" s="115"/>
      <c r="BJ58" s="115"/>
      <c r="BK58" s="115"/>
      <c r="BL58" s="115"/>
      <c r="BM58" s="108"/>
      <c r="BN58" s="115"/>
      <c r="BO58" s="115"/>
      <c r="BP58" s="115"/>
      <c r="BQ58" s="115"/>
      <c r="BR58" s="115">
        <v>100000</v>
      </c>
      <c r="BS58" s="115"/>
      <c r="BT58" s="115"/>
      <c r="BU58" s="115"/>
      <c r="BV58" s="115"/>
      <c r="BW58" s="116"/>
      <c r="BX58" s="116"/>
      <c r="BY58" s="115"/>
      <c r="BZ58" s="110">
        <f>SUM(B58:BY58)</f>
        <v>1065000</v>
      </c>
      <c r="CB58" s="66">
        <f>BZ58+BZ45</f>
        <v>3474000</v>
      </c>
    </row>
    <row r="59" spans="1:80" x14ac:dyDescent="0.25">
      <c r="A59" s="63" t="s">
        <v>152</v>
      </c>
      <c r="B59" s="116"/>
      <c r="C59" s="116"/>
      <c r="D59" s="64"/>
      <c r="E59" s="64">
        <v>73000</v>
      </c>
      <c r="F59" s="115"/>
      <c r="G59" s="64"/>
      <c r="H59" s="115"/>
      <c r="I59" s="115"/>
      <c r="J59" s="116"/>
      <c r="K59" s="64"/>
      <c r="L59" s="115"/>
      <c r="M59" s="116">
        <v>22000</v>
      </c>
      <c r="N59" s="115"/>
      <c r="O59" s="111"/>
      <c r="P59" s="64"/>
      <c r="Q59" s="116"/>
      <c r="R59" s="115"/>
      <c r="S59" s="115"/>
      <c r="T59" s="115"/>
      <c r="U59" s="115"/>
      <c r="V59" s="115"/>
      <c r="W59" s="115"/>
      <c r="X59" s="111"/>
      <c r="Y59" s="115"/>
      <c r="Z59" s="116"/>
      <c r="AA59" s="111"/>
      <c r="AB59" s="115"/>
      <c r="AC59" s="115"/>
      <c r="AD59" s="64"/>
      <c r="AE59" s="115"/>
      <c r="AF59" s="115"/>
      <c r="AG59" s="115"/>
      <c r="AH59" s="115"/>
      <c r="AI59" s="115"/>
      <c r="AJ59" s="115"/>
      <c r="AK59" s="115"/>
      <c r="AL59" s="115"/>
      <c r="AM59" s="115"/>
      <c r="AN59" s="119">
        <v>100000</v>
      </c>
      <c r="AO59" s="115"/>
      <c r="AP59" s="64"/>
      <c r="AQ59" s="115"/>
      <c r="AR59" s="108"/>
      <c r="AS59" s="64"/>
      <c r="AT59" s="64"/>
      <c r="AU59" s="115"/>
      <c r="AV59" s="117">
        <v>138000</v>
      </c>
      <c r="AW59" s="115">
        <v>111000</v>
      </c>
      <c r="AX59" s="115"/>
      <c r="AY59" s="115"/>
      <c r="AZ59" s="64"/>
      <c r="BA59" s="64">
        <v>498000</v>
      </c>
      <c r="BB59" s="112"/>
      <c r="BC59" s="115">
        <v>10000</v>
      </c>
      <c r="BD59" s="64">
        <v>36000</v>
      </c>
      <c r="BE59" s="115">
        <v>46000</v>
      </c>
      <c r="BG59" s="64"/>
      <c r="BH59" s="115"/>
      <c r="BI59" s="115"/>
      <c r="BJ59" s="115">
        <v>262000</v>
      </c>
      <c r="BL59" s="115">
        <v>142000</v>
      </c>
      <c r="BM59" s="115">
        <v>142000</v>
      </c>
      <c r="BN59" s="115">
        <v>52000</v>
      </c>
      <c r="BO59" s="118"/>
      <c r="BP59" s="115"/>
      <c r="BQ59" s="115"/>
      <c r="BR59" s="108"/>
      <c r="BS59" s="64"/>
      <c r="BT59" s="115"/>
      <c r="BU59" s="115"/>
      <c r="BV59" s="115"/>
      <c r="BW59" s="116"/>
      <c r="BX59" s="116"/>
      <c r="BY59" s="115"/>
      <c r="BZ59" s="110">
        <f>SUM(B59:BY59)</f>
        <v>1632000</v>
      </c>
      <c r="CB59" s="66">
        <f>BZ59+BZ46</f>
        <v>3062000</v>
      </c>
    </row>
    <row r="60" spans="1:80" x14ac:dyDescent="0.25">
      <c r="A60" s="63" t="s">
        <v>153</v>
      </c>
      <c r="B60" s="7"/>
      <c r="C60" s="7"/>
      <c r="D60" s="64"/>
      <c r="E60" s="64"/>
      <c r="F60" s="7"/>
      <c r="G60" s="117"/>
      <c r="H60" s="117"/>
      <c r="I60" s="7"/>
      <c r="J60" s="7"/>
      <c r="K60" s="64"/>
      <c r="L60" s="117">
        <v>1036000</v>
      </c>
      <c r="M60" s="7"/>
      <c r="N60" s="7"/>
      <c r="O60" s="64"/>
      <c r="P60" s="7"/>
      <c r="Q60" s="7"/>
      <c r="R60" s="7"/>
      <c r="S60" s="7"/>
      <c r="T60" s="7"/>
      <c r="U60" s="7"/>
      <c r="V60" s="7"/>
      <c r="W60" s="117"/>
      <c r="X60" s="111">
        <v>45000</v>
      </c>
      <c r="Y60" s="7">
        <v>400000</v>
      </c>
      <c r="Z60" s="7"/>
      <c r="AA60" s="111">
        <v>133000</v>
      </c>
      <c r="AB60" s="7"/>
      <c r="AC60" s="7"/>
      <c r="AD60" s="7"/>
      <c r="AE60" s="7"/>
      <c r="AF60" s="7"/>
      <c r="AG60" s="7"/>
      <c r="AH60" s="7"/>
      <c r="AI60" s="7">
        <v>510000</v>
      </c>
      <c r="AJ60" s="7"/>
      <c r="AK60" s="7"/>
      <c r="AL60" s="7">
        <v>418000</v>
      </c>
      <c r="AM60" s="64"/>
      <c r="AN60" s="119"/>
      <c r="AO60" s="7"/>
      <c r="AP60" s="7"/>
      <c r="AQ60" s="7"/>
      <c r="AR60" s="7"/>
      <c r="AS60" s="7"/>
      <c r="AT60" s="64"/>
      <c r="AU60" s="7"/>
      <c r="AV60" s="7"/>
      <c r="AW60" s="117"/>
      <c r="AX60" s="117"/>
      <c r="AY60" s="7"/>
      <c r="AZ60" s="64"/>
      <c r="BA60" s="7"/>
      <c r="BB60" s="7"/>
      <c r="BC60" s="7"/>
      <c r="BD60" s="64"/>
      <c r="BF60" s="7"/>
      <c r="BG60" s="117"/>
      <c r="BH60" s="7"/>
      <c r="BI60" s="117"/>
      <c r="BJ60" s="117"/>
      <c r="BK60" s="7"/>
      <c r="BL60" s="7"/>
      <c r="BM60" s="7"/>
      <c r="BN60" s="7"/>
      <c r="BO60" s="7"/>
      <c r="BP60" s="7"/>
      <c r="BQ60" s="7"/>
      <c r="BR60" s="7"/>
      <c r="BS60" s="64"/>
      <c r="BT60" s="7"/>
      <c r="BU60" s="7"/>
      <c r="BV60" s="7"/>
      <c r="BW60" s="117"/>
      <c r="BX60" s="117"/>
      <c r="BY60" s="115"/>
      <c r="BZ60" s="110">
        <f>SUM(B60:BY60)</f>
        <v>2542000</v>
      </c>
      <c r="CB60" s="66">
        <f>BZ60+BZ47</f>
        <v>5103000</v>
      </c>
    </row>
    <row r="61" spans="1:80" x14ac:dyDescent="0.25">
      <c r="A61" s="63" t="s">
        <v>154</v>
      </c>
      <c r="B61" s="115"/>
      <c r="C61" s="115"/>
      <c r="D61" s="115"/>
      <c r="E61" s="64">
        <v>25000</v>
      </c>
      <c r="F61" s="115"/>
      <c r="G61" s="120">
        <v>45000</v>
      </c>
      <c r="H61" s="115"/>
      <c r="I61" s="115"/>
      <c r="J61" s="115"/>
      <c r="K61" s="64"/>
      <c r="L61" s="115"/>
      <c r="M61" s="115"/>
      <c r="N61" s="115"/>
      <c r="O61" s="64"/>
      <c r="P61" s="64">
        <v>140000</v>
      </c>
      <c r="Q61" s="115"/>
      <c r="R61" s="115"/>
      <c r="S61" s="115"/>
      <c r="T61" s="115"/>
      <c r="U61" s="115"/>
      <c r="V61" s="115"/>
      <c r="W61" s="116">
        <v>250000</v>
      </c>
      <c r="X61" s="64"/>
      <c r="Y61" s="115"/>
      <c r="Z61" s="64"/>
      <c r="AA61" s="116"/>
      <c r="AB61" s="115"/>
      <c r="AC61" s="64"/>
      <c r="AD61" s="64">
        <v>115000</v>
      </c>
      <c r="AE61" s="7">
        <v>30000</v>
      </c>
      <c r="AF61" s="115"/>
      <c r="AG61" s="93"/>
      <c r="AH61" s="115"/>
      <c r="AI61" s="93"/>
      <c r="AJ61" s="115"/>
      <c r="AK61" s="115"/>
      <c r="AL61" s="93"/>
      <c r="AM61" s="64"/>
      <c r="AN61" s="119">
        <v>1200000</v>
      </c>
      <c r="AO61" s="93"/>
      <c r="AP61" s="64"/>
      <c r="AQ61" s="115"/>
      <c r="AR61" s="64"/>
      <c r="AS61" s="64"/>
      <c r="AT61" s="64"/>
      <c r="AU61" s="115"/>
      <c r="AV61" s="115">
        <v>744000</v>
      </c>
      <c r="AW61" s="115"/>
      <c r="AX61" s="115"/>
      <c r="AY61" s="115"/>
      <c r="AZ61" s="115"/>
      <c r="BA61" s="8">
        <v>214000</v>
      </c>
      <c r="BB61" s="115"/>
      <c r="BC61" s="115">
        <v>10000</v>
      </c>
      <c r="BD61" s="64">
        <v>136000</v>
      </c>
      <c r="BE61" s="115"/>
      <c r="BF61" s="115"/>
      <c r="BG61" s="115"/>
      <c r="BH61" s="115"/>
      <c r="BI61" s="115"/>
      <c r="BJ61" s="115">
        <v>115000</v>
      </c>
      <c r="BK61" s="115"/>
      <c r="BL61" s="93"/>
      <c r="BM61" s="115"/>
      <c r="BN61" s="108"/>
      <c r="BO61" s="115"/>
      <c r="BP61" s="115">
        <v>22000</v>
      </c>
      <c r="BQ61" s="115"/>
      <c r="BR61" s="115"/>
      <c r="BS61" s="64"/>
      <c r="BT61" s="115"/>
      <c r="BU61" s="115"/>
      <c r="BV61" s="115"/>
      <c r="BW61" s="116"/>
      <c r="BX61" s="116"/>
      <c r="BY61" s="115"/>
      <c r="BZ61" s="110">
        <f>SUM(B61:BY61)</f>
        <v>3046000</v>
      </c>
      <c r="CB61" s="66">
        <f>BZ61+BZ48</f>
        <v>4155000</v>
      </c>
    </row>
    <row r="62" spans="1:80" x14ac:dyDescent="0.25">
      <c r="A62" s="63" t="s">
        <v>155</v>
      </c>
      <c r="B62" s="115"/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  <c r="AB62" s="115"/>
      <c r="AC62" s="115"/>
      <c r="AD62" s="115"/>
      <c r="AE62" s="115"/>
      <c r="AF62" s="115"/>
      <c r="AG62" s="115"/>
      <c r="AH62" s="115"/>
      <c r="AI62" s="115"/>
      <c r="AJ62" s="115"/>
      <c r="AK62" s="115"/>
      <c r="AL62" s="115"/>
      <c r="AM62" s="115"/>
      <c r="AN62" s="115"/>
      <c r="AO62" s="115"/>
      <c r="AP62" s="115"/>
      <c r="AQ62" s="115"/>
      <c r="AR62" s="115"/>
      <c r="AS62" s="115"/>
      <c r="AT62" s="115"/>
      <c r="AU62" s="115"/>
      <c r="AV62" s="115"/>
      <c r="AW62" s="115"/>
      <c r="AX62" s="115"/>
      <c r="AY62" s="115"/>
      <c r="AZ62" s="115"/>
      <c r="BA62" s="115"/>
      <c r="BB62" s="115"/>
      <c r="BC62" s="115"/>
      <c r="BD62" s="115"/>
      <c r="BE62" s="115"/>
      <c r="BF62" s="115"/>
      <c r="BG62" s="115"/>
      <c r="BH62" s="115"/>
      <c r="BI62" s="115"/>
      <c r="BJ62" s="115"/>
      <c r="BK62" s="115"/>
      <c r="BL62" s="115"/>
      <c r="BM62" s="115"/>
      <c r="BN62" s="115"/>
      <c r="BO62" s="115"/>
      <c r="BP62" s="115"/>
      <c r="BQ62" s="115"/>
      <c r="BR62" s="115"/>
      <c r="BS62" s="115"/>
      <c r="BT62" s="115"/>
      <c r="BU62" s="115"/>
      <c r="BV62" s="115"/>
      <c r="BW62" s="115"/>
      <c r="BX62" s="115"/>
      <c r="BY62" s="115"/>
      <c r="BZ62" s="110">
        <f>SUM(B62:BY62)</f>
        <v>0</v>
      </c>
    </row>
    <row r="63" spans="1:80" x14ac:dyDescent="0.25">
      <c r="B63" s="107"/>
      <c r="C63" s="107"/>
      <c r="D63" s="107"/>
      <c r="E63" s="107"/>
      <c r="F63" s="107"/>
      <c r="G63" s="107"/>
      <c r="H63" s="107"/>
      <c r="I63" s="107"/>
      <c r="J63" s="107"/>
      <c r="K63" s="109"/>
      <c r="L63" s="109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107"/>
      <c r="AP63" s="107"/>
      <c r="AQ63" s="107"/>
      <c r="AR63" s="107"/>
      <c r="AS63" s="107"/>
      <c r="AT63" s="107"/>
      <c r="AU63" s="107"/>
      <c r="AV63" s="107"/>
      <c r="AW63" s="107"/>
      <c r="AX63" s="107"/>
      <c r="AY63" s="107"/>
      <c r="AZ63" s="107"/>
      <c r="BA63" s="107"/>
      <c r="BB63" s="107"/>
      <c r="BC63" s="107"/>
      <c r="BD63" s="107"/>
      <c r="BE63" s="107"/>
      <c r="BF63" s="107"/>
      <c r="BG63" s="107"/>
      <c r="BH63" s="107"/>
      <c r="BI63" s="107"/>
      <c r="BJ63" s="107"/>
      <c r="BK63" s="107"/>
      <c r="BL63" s="107"/>
      <c r="BM63" s="107"/>
      <c r="BN63" s="107"/>
      <c r="BO63" s="107"/>
      <c r="BP63" s="107"/>
      <c r="BQ63" s="107"/>
      <c r="BR63" s="107"/>
      <c r="BS63" s="107"/>
      <c r="BT63" s="107"/>
      <c r="BU63" s="107"/>
      <c r="BV63" s="107"/>
      <c r="BW63" s="107"/>
      <c r="BX63" s="107"/>
      <c r="BY63" s="107"/>
      <c r="BZ63" s="113"/>
    </row>
    <row r="64" spans="1:80" s="73" customFormat="1" x14ac:dyDescent="0.25">
      <c r="A64" s="79" t="s">
        <v>195</v>
      </c>
      <c r="B64" s="114">
        <f t="shared" ref="B64:AG64" si="16">SUM(B57:B62)</f>
        <v>1866.1500000000233</v>
      </c>
      <c r="C64" s="114">
        <f t="shared" si="16"/>
        <v>-7647.2333333333372</v>
      </c>
      <c r="D64" s="114">
        <f t="shared" si="16"/>
        <v>837.83571428566938</v>
      </c>
      <c r="E64" s="114">
        <f t="shared" si="16"/>
        <v>-1431.1630952381529</v>
      </c>
      <c r="F64" s="114">
        <f t="shared" si="16"/>
        <v>24846.799999999988</v>
      </c>
      <c r="G64" s="114">
        <f t="shared" si="16"/>
        <v>354439.1857142857</v>
      </c>
      <c r="H64" s="114">
        <f t="shared" si="16"/>
        <v>17024</v>
      </c>
      <c r="I64" s="114">
        <f t="shared" si="16"/>
        <v>1537.3166666666657</v>
      </c>
      <c r="J64" s="114">
        <f t="shared" si="16"/>
        <v>97454.480952380924</v>
      </c>
      <c r="K64" s="114">
        <f t="shared" si="16"/>
        <v>55365.834523809608</v>
      </c>
      <c r="L64" s="114">
        <f t="shared" si="16"/>
        <v>1045567.4285714285</v>
      </c>
      <c r="M64" s="114">
        <f t="shared" si="16"/>
        <v>11517.550000000163</v>
      </c>
      <c r="N64" s="114">
        <f t="shared" si="16"/>
        <v>7248.1285714285914</v>
      </c>
      <c r="O64" s="114">
        <f t="shared" si="16"/>
        <v>124846.91833333345</v>
      </c>
      <c r="P64" s="114">
        <f t="shared" si="16"/>
        <v>41532.492857142817</v>
      </c>
      <c r="Q64" s="114">
        <f t="shared" si="16"/>
        <v>22798.333333333314</v>
      </c>
      <c r="R64" s="114">
        <f t="shared" si="16"/>
        <v>35461.100000000006</v>
      </c>
      <c r="S64" s="114">
        <f t="shared" si="16"/>
        <v>65016.733333333337</v>
      </c>
      <c r="T64" s="114">
        <f t="shared" si="16"/>
        <v>-74.283333333340124</v>
      </c>
      <c r="U64" s="114">
        <f t="shared" si="16"/>
        <v>-83848.866666666669</v>
      </c>
      <c r="V64" s="114">
        <f t="shared" si="16"/>
        <v>224720.40000000002</v>
      </c>
      <c r="W64" s="114">
        <f t="shared" si="16"/>
        <v>131806.57738095219</v>
      </c>
      <c r="X64" s="114">
        <f t="shared" si="16"/>
        <v>-2155.7154761903221</v>
      </c>
      <c r="Y64" s="114">
        <f t="shared" si="16"/>
        <v>888496.43928571418</v>
      </c>
      <c r="Z64" s="114">
        <f t="shared" si="16"/>
        <v>66785.234523809515</v>
      </c>
      <c r="AA64" s="114">
        <f t="shared" si="16"/>
        <v>199187.05357142852</v>
      </c>
      <c r="AB64" s="114">
        <f t="shared" si="16"/>
        <v>374635.39285714284</v>
      </c>
      <c r="AC64" s="114">
        <f t="shared" si="16"/>
        <v>-1011.6571428571478</v>
      </c>
      <c r="AD64" s="114">
        <f t="shared" si="16"/>
        <v>2561.5666666666511</v>
      </c>
      <c r="AE64" s="114">
        <f t="shared" si="16"/>
        <v>34314.696428571478</v>
      </c>
      <c r="AF64" s="114">
        <f t="shared" si="16"/>
        <v>184165.94166666665</v>
      </c>
      <c r="AG64" s="114">
        <f t="shared" si="16"/>
        <v>500426.39285714284</v>
      </c>
      <c r="AH64" s="114">
        <f t="shared" ref="AH64:BM64" si="17">SUM(AH57:AH62)</f>
        <v>164584.9559523809</v>
      </c>
      <c r="AI64" s="114">
        <f t="shared" si="17"/>
        <v>400381.96428571432</v>
      </c>
      <c r="AJ64" s="114">
        <f t="shared" si="17"/>
        <v>1592.1607142859139</v>
      </c>
      <c r="AK64" s="114">
        <f t="shared" si="17"/>
        <v>67830.765476190601</v>
      </c>
      <c r="AL64" s="114">
        <f t="shared" si="17"/>
        <v>421320.16071428574</v>
      </c>
      <c r="AM64" s="114">
        <f t="shared" si="17"/>
        <v>155928.13095238095</v>
      </c>
      <c r="AN64" s="114">
        <f t="shared" si="17"/>
        <v>4694967.1309523806</v>
      </c>
      <c r="AO64" s="114">
        <f t="shared" si="17"/>
        <v>0.28333333320915699</v>
      </c>
      <c r="AP64" s="114">
        <f t="shared" si="17"/>
        <v>-7472.4214285713388</v>
      </c>
      <c r="AQ64" s="114">
        <f t="shared" si="17"/>
        <v>412696.625</v>
      </c>
      <c r="AR64" s="114">
        <f t="shared" si="17"/>
        <v>9878.1833333333489</v>
      </c>
      <c r="AS64" s="114">
        <f t="shared" si="17"/>
        <v>73601.766666666605</v>
      </c>
      <c r="AT64" s="114">
        <f t="shared" si="17"/>
        <v>-7640.7107142857276</v>
      </c>
      <c r="AU64" s="114">
        <f t="shared" si="17"/>
        <v>30969.783333333326</v>
      </c>
      <c r="AV64" s="114">
        <f t="shared" si="17"/>
        <v>-15315.798809523694</v>
      </c>
      <c r="AW64" s="114">
        <f t="shared" si="17"/>
        <v>9801.7023809523089</v>
      </c>
      <c r="AX64" s="114">
        <f t="shared" si="17"/>
        <v>18585.998809523764</v>
      </c>
      <c r="AY64" s="114">
        <f t="shared" si="17"/>
        <v>500032.76785714284</v>
      </c>
      <c r="AZ64" s="114">
        <f t="shared" si="17"/>
        <v>122098.56190476194</v>
      </c>
      <c r="BA64" s="114">
        <f t="shared" si="17"/>
        <v>-80049.929761904874</v>
      </c>
      <c r="BB64" s="114">
        <f t="shared" si="17"/>
        <v>72579.298571428546</v>
      </c>
      <c r="BC64" s="114">
        <f t="shared" si="17"/>
        <v>-3937.2107142856985</v>
      </c>
      <c r="BD64" s="114">
        <f t="shared" si="17"/>
        <v>-23804.473809523799</v>
      </c>
      <c r="BE64" s="114">
        <f t="shared" si="17"/>
        <v>18688.586904761847</v>
      </c>
      <c r="BF64" s="114">
        <f t="shared" si="17"/>
        <v>-26292.828571428661</v>
      </c>
      <c r="BG64" s="114">
        <f t="shared" si="17"/>
        <v>131866.42857142852</v>
      </c>
      <c r="BH64" s="114">
        <f t="shared" si="17"/>
        <v>-23654.371428571525</v>
      </c>
      <c r="BI64" s="114">
        <f t="shared" si="17"/>
        <v>-9876.8380952381412</v>
      </c>
      <c r="BJ64" s="114">
        <f t="shared" si="17"/>
        <v>-68674.45952380955</v>
      </c>
      <c r="BK64" s="114">
        <f t="shared" si="17"/>
        <v>8425.5488095238106</v>
      </c>
      <c r="BL64" s="114">
        <f t="shared" si="17"/>
        <v>7189.1607142857392</v>
      </c>
      <c r="BM64" s="114">
        <f t="shared" si="17"/>
        <v>-95543.53571428571</v>
      </c>
      <c r="BN64" s="114">
        <f t="shared" ref="BN64:BY64" si="18">SUM(BN57:BN62)</f>
        <v>9855.2702380952251</v>
      </c>
      <c r="BO64" s="114">
        <f t="shared" si="18"/>
        <v>62349.851190476213</v>
      </c>
      <c r="BP64" s="114">
        <f t="shared" si="18"/>
        <v>76908.531904761912</v>
      </c>
      <c r="BQ64" s="114">
        <f t="shared" si="18"/>
        <v>12156.807142857142</v>
      </c>
      <c r="BR64" s="114">
        <f t="shared" si="18"/>
        <v>2061.0333333333401</v>
      </c>
      <c r="BS64" s="114">
        <f t="shared" si="18"/>
        <v>-36564.888095238101</v>
      </c>
      <c r="BT64" s="114">
        <f t="shared" si="18"/>
        <v>136984.06666666665</v>
      </c>
      <c r="BU64" s="114">
        <f t="shared" si="18"/>
        <v>-12271.820238095243</v>
      </c>
      <c r="BV64" s="114">
        <f t="shared" si="18"/>
        <v>891.03333333332557</v>
      </c>
      <c r="BW64" s="114">
        <f t="shared" si="18"/>
        <v>53120.333333333314</v>
      </c>
      <c r="BX64" s="114">
        <f t="shared" si="18"/>
        <v>89000.333333333023</v>
      </c>
      <c r="BY64" s="114">
        <f t="shared" si="18"/>
        <v>6270583.5300000012</v>
      </c>
      <c r="BZ64" s="114">
        <f>SUM(BZ57:BZ62)</f>
        <v>17954122.53357143</v>
      </c>
    </row>
  </sheetData>
  <sheetProtection selectLockedCells="1"/>
  <customSheetViews>
    <customSheetView guid="{787CEAB0-B665-4DDC-B6D5-0EF4B4179B2C}" fitToPage="1">
      <pane xSplit="1" ySplit="21" topLeftCell="B28" activePane="bottomRight" state="frozen"/>
      <selection pane="bottomRight" activeCell="O33" sqref="O33"/>
      <pageMargins left="0.25" right="0.25" top="0.25" bottom="0.24" header="0.24" footer="0.23"/>
      <printOptions gridLines="1"/>
      <pageSetup scale="78" fitToWidth="0" orientation="landscape" r:id="rId1"/>
      <headerFooter alignWithMargins="0">
        <oddFooter xml:space="preserve">&amp;L&amp;D&amp;CLong &amp; Short </oddFooter>
      </headerFooter>
    </customSheetView>
    <customSheetView guid="{32FA922B-D311-4A17-9E95-50C57C186216}">
      <pane xSplit="1" ySplit="21" topLeftCell="B37" activePane="bottomRight" state="frozen"/>
      <selection pane="bottomRight" activeCell="A53" sqref="A53:IV53"/>
      <pageMargins left="0.25" right="0.25" top="0.25" bottom="0.24" header="0.24" footer="0.23"/>
      <printOptions gridLines="1"/>
      <pageSetup scale="85" orientation="landscape" r:id="rId2"/>
      <headerFooter alignWithMargins="0">
        <oddFooter xml:space="preserve">&amp;L&amp;D&amp;CLong &amp; Short </oddFooter>
      </headerFooter>
    </customSheetView>
    <customSheetView guid="{AD1DD6D4-9126-4937-AE78-38B0663E3739}">
      <pane xSplit="1" ySplit="21" topLeftCell="AH43" activePane="bottomRight" state="frozen"/>
      <selection pane="bottomRight" activeCell="AL51" sqref="AL51"/>
      <pageMargins left="0.25" right="0.25" top="0.25" bottom="0.24" header="0.24" footer="0.23"/>
      <printOptions gridLines="1"/>
      <pageSetup scale="85" orientation="landscape" r:id="rId3"/>
      <headerFooter alignWithMargins="0">
        <oddFooter xml:space="preserve">&amp;L&amp;D&amp;CLong &amp; Short </oddFooter>
      </headerFooter>
    </customSheetView>
    <customSheetView guid="{007B44AF-685B-4B37-9750-B07A99A25CF6}">
      <pane xSplit="1" ySplit="21" topLeftCell="B30" activePane="bottomRight" state="frozen"/>
      <selection pane="bottomRight" activeCell="BO33" sqref="BO33"/>
      <pageMargins left="0.25" right="0.25" top="0.25" bottom="0.24" header="0.24" footer="0.23"/>
      <printOptions gridLines="1"/>
      <pageSetup scale="85" orientation="landscape" r:id="rId4"/>
      <headerFooter alignWithMargins="0">
        <oddFooter xml:space="preserve">&amp;L&amp;D&amp;CLong &amp; Short </oddFooter>
      </headerFooter>
    </customSheetView>
    <customSheetView guid="{AA02AC12-6E1B-4019-BD01-AFF4D21A6ABD}" scale="90" fitToPage="1">
      <pane xSplit="1" ySplit="21" topLeftCell="BE40" activePane="bottomRight" state="frozen"/>
      <selection pane="bottomRight" activeCell="BE58" sqref="BE58"/>
      <pageMargins left="0.25" right="0.25" top="0.25" bottom="0.24" header="0.24" footer="0.23"/>
      <printOptions gridLines="1"/>
      <pageSetup scale="78" fitToWidth="0" orientation="landscape" r:id="rId5"/>
      <headerFooter alignWithMargins="0">
        <oddFooter xml:space="preserve">&amp;L&amp;D&amp;CLong &amp; Short </oddFooter>
      </headerFooter>
    </customSheetView>
    <customSheetView guid="{B148F6D0-D380-41BC-8CCF-9098DBC3211F}" fitToPage="1">
      <pane xSplit="1" ySplit="21" topLeftCell="AS37" activePane="bottomRight" state="frozen"/>
      <selection pane="bottomRight" activeCell="BG49" sqref="BG49"/>
      <pageMargins left="0.25" right="0.25" top="0.25" bottom="0.24" header="0.24" footer="0.23"/>
      <printOptions gridLines="1"/>
      <pageSetup scale="78" fitToWidth="0" orientation="landscape" r:id="rId6"/>
      <headerFooter alignWithMargins="0">
        <oddFooter xml:space="preserve">&amp;L&amp;D&amp;CLong &amp; Short </oddFooter>
      </headerFooter>
    </customSheetView>
    <customSheetView guid="{A6685E51-6E0B-411A-8D94-6874F1684A20}" scale="90" fitToPage="1">
      <pane xSplit="1" ySplit="23" topLeftCell="BG45" activePane="bottomRight" state="frozen"/>
      <selection pane="bottomRight" sqref="A1:BZ64"/>
      <pageMargins left="0.25" right="0.25" top="0.25" bottom="0.24" header="0.24" footer="0.23"/>
      <printOptions gridLines="1"/>
      <pageSetup scale="78" fitToWidth="0" orientation="landscape" r:id="rId7"/>
      <headerFooter alignWithMargins="0">
        <oddFooter xml:space="preserve">&amp;L&amp;D&amp;CLong &amp; Short </oddFooter>
      </headerFooter>
    </customSheetView>
  </customSheetViews>
  <phoneticPr fontId="0" type="noConversion"/>
  <conditionalFormatting sqref="B31:K31 B24:K24 B41:K41 B57:K57 B64:K64 B10:K10 AH31 AH24 AH41 AH57 AH64 AH10 M10:AF10 M64:AF64 M57:AF57 M41:AF41 M24:AF24 M31:AF31 AJ10:BZ10 AJ64:BZ64 AJ57:BZ57 AJ41:BZ41 AJ24:BZ24 AJ31:BZ31">
    <cfRule type="cellIs" dxfId="9" priority="11" stopIfTrue="1" operator="greaterThanOrEqual">
      <formula>0</formula>
    </cfRule>
    <cfRule type="cellIs" dxfId="8" priority="12" stopIfTrue="1" operator="lessThan">
      <formula>0</formula>
    </cfRule>
  </conditionalFormatting>
  <conditionalFormatting sqref="AI31 AI24 AI41 AI57 AI64 AI10">
    <cfRule type="cellIs" dxfId="7" priority="5" stopIfTrue="1" operator="greaterThanOrEqual">
      <formula>0</formula>
    </cfRule>
    <cfRule type="cellIs" dxfId="6" priority="6" stopIfTrue="1" operator="lessThan">
      <formula>0</formula>
    </cfRule>
  </conditionalFormatting>
  <conditionalFormatting sqref="L31 L24 L41 L57 L64 L10">
    <cfRule type="cellIs" dxfId="5" priority="3" stopIfTrue="1" operator="greaterThanOrEqual">
      <formula>0</formula>
    </cfRule>
    <cfRule type="cellIs" dxfId="4" priority="4" stopIfTrue="1" operator="lessThan">
      <formula>0</formula>
    </cfRule>
  </conditionalFormatting>
  <conditionalFormatting sqref="AG10 AG64 AG57 AG41 AG24 AG31">
    <cfRule type="cellIs" dxfId="3" priority="1" stopIfTrue="1" operator="greaterThanOrEqual">
      <formula>0</formula>
    </cfRule>
    <cfRule type="cellIs" dxfId="2" priority="2" stopIfTrue="1" operator="lessThan">
      <formula>0</formula>
    </cfRule>
  </conditionalFormatting>
  <printOptions gridLines="1" gridLinesSet="0"/>
  <pageMargins left="0.25" right="0.25" top="0.25" bottom="0.24" header="0.24" footer="0.23"/>
  <pageSetup scale="78" fitToWidth="0" orientation="landscape" r:id="rId8"/>
  <headerFooter alignWithMargins="0">
    <oddFooter xml:space="preserve">&amp;L&amp;D&amp;CLong &amp; Short </oddFooter>
  </headerFooter>
  <legacyDrawing r:id="rId9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78"/>
  <sheetViews>
    <sheetView tabSelected="1" topLeftCell="O1" workbookViewId="0">
      <selection activeCell="AA2" sqref="AA2"/>
    </sheetView>
  </sheetViews>
  <sheetFormatPr defaultRowHeight="13.2" x14ac:dyDescent="0.25"/>
  <cols>
    <col min="3" max="3" width="15.44140625" bestFit="1" customWidth="1"/>
    <col min="4" max="4" width="13.33203125" bestFit="1" customWidth="1"/>
    <col min="5" max="5" width="14.109375" bestFit="1" customWidth="1"/>
    <col min="6" max="6" width="15.21875" bestFit="1" customWidth="1"/>
    <col min="8" max="8" width="11.33203125" bestFit="1" customWidth="1"/>
    <col min="33" max="33" width="17.77734375" bestFit="1" customWidth="1"/>
    <col min="34" max="34" width="18.6640625" bestFit="1" customWidth="1"/>
    <col min="35" max="35" width="18.77734375" bestFit="1" customWidth="1"/>
    <col min="36" max="36" width="18.6640625" bestFit="1" customWidth="1"/>
    <col min="38" max="38" width="20" bestFit="1" customWidth="1"/>
    <col min="39" max="39" width="25.77734375" bestFit="1" customWidth="1"/>
    <col min="43" max="43" width="21.44140625" bestFit="1" customWidth="1"/>
    <col min="48" max="48" width="9.6640625" customWidth="1"/>
    <col min="49" max="49" width="13.109375" customWidth="1"/>
    <col min="50" max="50" width="10.44140625" bestFit="1" customWidth="1"/>
    <col min="51" max="51" width="24.33203125" bestFit="1" customWidth="1"/>
    <col min="52" max="52" width="21" bestFit="1" customWidth="1"/>
    <col min="53" max="53" width="18.88671875" bestFit="1" customWidth="1"/>
    <col min="61" max="61" width="11.21875" bestFit="1" customWidth="1"/>
  </cols>
  <sheetData>
    <row r="1" spans="1:64" ht="13.8" thickBot="1" x14ac:dyDescent="0.3">
      <c r="A1" s="63" t="s">
        <v>228</v>
      </c>
      <c r="B1" s="73"/>
      <c r="C1" s="62" t="s">
        <v>2</v>
      </c>
      <c r="D1" s="62" t="s">
        <v>3</v>
      </c>
      <c r="E1" s="62" t="s">
        <v>4</v>
      </c>
      <c r="F1" s="62" t="s">
        <v>5</v>
      </c>
      <c r="G1" s="62" t="s">
        <v>77</v>
      </c>
      <c r="H1" s="62" t="s">
        <v>130</v>
      </c>
      <c r="I1" s="62"/>
      <c r="J1" s="79" t="s">
        <v>6</v>
      </c>
      <c r="K1" s="73"/>
      <c r="L1" s="63" t="s">
        <v>72</v>
      </c>
      <c r="M1" s="63" t="s">
        <v>69</v>
      </c>
      <c r="N1" s="63" t="s">
        <v>74</v>
      </c>
      <c r="O1" s="63" t="s">
        <v>73</v>
      </c>
      <c r="P1" s="63" t="s">
        <v>80</v>
      </c>
      <c r="Q1" s="63" t="s">
        <v>115</v>
      </c>
      <c r="R1" s="63" t="s">
        <v>183</v>
      </c>
      <c r="S1" s="63" t="s">
        <v>116</v>
      </c>
      <c r="T1" s="63" t="s">
        <v>99</v>
      </c>
      <c r="U1" s="73" t="s">
        <v>134</v>
      </c>
      <c r="V1" s="73" t="s">
        <v>135</v>
      </c>
      <c r="W1" s="73"/>
      <c r="X1" s="79" t="s">
        <v>7</v>
      </c>
      <c r="Y1" s="63"/>
      <c r="Z1" s="63" t="s">
        <v>8</v>
      </c>
      <c r="AA1" s="63" t="s">
        <v>9</v>
      </c>
      <c r="AB1" s="63" t="s">
        <v>132</v>
      </c>
      <c r="AC1" s="121" t="s">
        <v>198</v>
      </c>
      <c r="AD1" s="121"/>
      <c r="AE1" s="79" t="s">
        <v>150</v>
      </c>
      <c r="AF1" s="63"/>
      <c r="AG1" s="73" t="s">
        <v>68</v>
      </c>
      <c r="AH1" s="73" t="s">
        <v>15</v>
      </c>
      <c r="AI1" s="73" t="s">
        <v>16</v>
      </c>
      <c r="AJ1" s="73" t="s">
        <v>93</v>
      </c>
      <c r="AK1" s="73"/>
      <c r="AL1" s="73" t="s">
        <v>78</v>
      </c>
      <c r="AM1" s="73" t="s">
        <v>131</v>
      </c>
      <c r="AN1" s="73"/>
      <c r="AO1" s="79" t="s">
        <v>13</v>
      </c>
      <c r="AP1" s="63"/>
      <c r="AQ1" s="73" t="s">
        <v>136</v>
      </c>
      <c r="AR1" s="73" t="s">
        <v>137</v>
      </c>
      <c r="AS1" s="63" t="s">
        <v>156</v>
      </c>
      <c r="AT1" s="63" t="s">
        <v>157</v>
      </c>
      <c r="AU1" s="63" t="s">
        <v>158</v>
      </c>
      <c r="AV1" s="63" t="s">
        <v>159</v>
      </c>
      <c r="AW1" s="63" t="s">
        <v>160</v>
      </c>
      <c r="AX1" s="63"/>
      <c r="AY1" s="79" t="s">
        <v>194</v>
      </c>
      <c r="AZ1" s="63" t="s">
        <v>156</v>
      </c>
      <c r="BA1" s="63" t="s">
        <v>157</v>
      </c>
      <c r="BB1" s="63" t="s">
        <v>158</v>
      </c>
      <c r="BC1" s="63" t="s">
        <v>159</v>
      </c>
      <c r="BD1" s="63"/>
      <c r="BE1" s="79" t="s">
        <v>199</v>
      </c>
      <c r="BF1" s="63" t="s">
        <v>151</v>
      </c>
      <c r="BG1" s="63" t="s">
        <v>152</v>
      </c>
      <c r="BH1" s="63" t="s">
        <v>153</v>
      </c>
      <c r="BI1" s="63" t="s">
        <v>154</v>
      </c>
      <c r="BJ1" s="63" t="s">
        <v>155</v>
      </c>
      <c r="BK1" s="63"/>
      <c r="BL1" s="79" t="s">
        <v>195</v>
      </c>
    </row>
    <row r="2" spans="1:64" ht="13.8" thickBot="1" x14ac:dyDescent="0.3">
      <c r="A2" s="63">
        <v>171</v>
      </c>
      <c r="B2" s="74" t="s">
        <v>114</v>
      </c>
      <c r="C2" s="61">
        <f>+GETPIVOTDATA("ADJBAL",AGTRAXDATA!$F$1,"BRANCH_NUMBER",171,"COMMODITY_CODE","01")/60</f>
        <v>492433.85</v>
      </c>
      <c r="D2" s="61">
        <f>+GETPIVOTDATA("ADJBAL",AGTRAXDATA!$F$1,"BRANCH_NUMBER",171,"COMMODITY_CODE","02")/56</f>
        <v>0</v>
      </c>
      <c r="E2" s="61">
        <f>+GETPIVOTDATA("ADJBAL",AGTRAXDATA!$F$1,"BRANCH_NUMBER",171,"COMMODITY_CODE","04")/56</f>
        <v>0</v>
      </c>
      <c r="F2" s="61">
        <f>+GETPIVOTDATA("ADJBAL",AGTRAXDATA!$F$1,"BRANCH_NUMBER",171,"COMMODITY_CODE","03")/60</f>
        <v>0</v>
      </c>
      <c r="G2" s="61">
        <f>+GETPIVOTDATA("ADJBAL",AGTRAXDATA!$F$1,"BRANCH_NUMBER",171,"COMMODITY_CODE","22")/25</f>
        <v>0</v>
      </c>
      <c r="H2" s="76">
        <v>0</v>
      </c>
      <c r="I2" s="76"/>
      <c r="J2" s="80">
        <f t="shared" ref="J2:J33" si="0">SUM(C2:H2)</f>
        <v>492433.85</v>
      </c>
      <c r="K2" s="66"/>
      <c r="L2" s="61">
        <f>+GETPIVOTDATA("LBS_UPDATED",SALESCONTRACTS!$E$1,"BRANCH_NUMBER",171,"COMMODITY_CODE","01")/60</f>
        <v>0</v>
      </c>
      <c r="M2" s="61">
        <f>+GETPIVOTDATA("LBS_UPDATED",SALESCONTRACTS!$E$1,"BRANCH_NUMBER",171,"COMMODITY_CODE","02")/56</f>
        <v>0</v>
      </c>
      <c r="N2" s="61">
        <f>+GETPIVOTDATA("LBS_UPDATED",SALESCONTRACTS!$E$1,"BRANCH_NUMBER",171,"COMMODITY_CODE","04")/56</f>
        <v>0</v>
      </c>
      <c r="O2" s="61">
        <f>+GETPIVOTDATA("LBS_UPDATED",SALESCONTRACTS!$E$1,"BRANCH_NUMBER",171,"COMMODITY_CODE","03")/60</f>
        <v>0</v>
      </c>
      <c r="P2" s="61">
        <f>+GETPIVOTDATA("LBS_UPDATED",SALESCONTRACTS!$E$1,"BRANCH_NUMBER",171,"COMMODITY_CODE","22")/25</f>
        <v>0</v>
      </c>
      <c r="Q2" s="66">
        <v>0</v>
      </c>
      <c r="R2" s="66">
        <v>0</v>
      </c>
      <c r="S2" s="66">
        <v>0</v>
      </c>
      <c r="T2" s="66">
        <v>0</v>
      </c>
      <c r="U2" s="84">
        <v>0</v>
      </c>
      <c r="V2" s="84">
        <v>0</v>
      </c>
      <c r="W2" s="82"/>
      <c r="X2" s="80">
        <f t="shared" ref="X2:X33" si="1">J2-L2-M2-N2-O2-P2-Q2-R2-S2-T2-U2-V2</f>
        <v>492433.85</v>
      </c>
      <c r="Y2" s="66"/>
      <c r="Z2" s="66">
        <v>243000</v>
      </c>
      <c r="AA2" s="66">
        <v>276300</v>
      </c>
      <c r="AB2" s="66">
        <v>0</v>
      </c>
      <c r="AC2" s="122">
        <f t="shared" ref="AC2:AC33" si="2">SUM(Z2:AB2)-J2</f>
        <v>26866.150000000023</v>
      </c>
      <c r="AD2" s="122"/>
      <c r="AE2" s="80">
        <f t="shared" ref="AE2:AE33" si="3">Z2+AA2-X2</f>
        <v>26866.150000000023</v>
      </c>
      <c r="AF2" s="66"/>
      <c r="AG2" s="88">
        <v>0</v>
      </c>
      <c r="AH2" s="88">
        <v>0</v>
      </c>
      <c r="AI2" s="91">
        <v>0</v>
      </c>
      <c r="AJ2" s="84">
        <v>0</v>
      </c>
      <c r="AK2" s="82"/>
      <c r="AL2" s="137">
        <v>55000</v>
      </c>
      <c r="AM2" s="84">
        <v>0</v>
      </c>
      <c r="AN2" s="82"/>
      <c r="AO2" s="80">
        <f t="shared" ref="AO2:AO33" si="4">AE2-AG2-AH2-AI2-AJ2-AL2-AM2</f>
        <v>-28133.849999999977</v>
      </c>
      <c r="AP2" s="63"/>
      <c r="AQ2" s="93">
        <v>0</v>
      </c>
      <c r="AR2" s="93">
        <v>0</v>
      </c>
      <c r="AS2" s="180">
        <v>0</v>
      </c>
      <c r="AT2" s="180">
        <v>0</v>
      </c>
      <c r="AU2" s="180">
        <v>0</v>
      </c>
      <c r="AV2" s="180">
        <v>0</v>
      </c>
      <c r="AW2" s="180">
        <v>0</v>
      </c>
      <c r="AX2" s="184">
        <f>SUM(AQ2:AW2)</f>
        <v>0</v>
      </c>
      <c r="AY2" s="80">
        <f t="shared" ref="AY2:AY33" si="5">SUM(AO2:AW2)</f>
        <v>-28133.849999999977</v>
      </c>
      <c r="AZ2" s="180">
        <v>0</v>
      </c>
      <c r="BA2" s="181">
        <v>0</v>
      </c>
      <c r="BB2" s="180">
        <v>0</v>
      </c>
      <c r="BC2" s="180">
        <v>0</v>
      </c>
      <c r="BD2" s="94"/>
      <c r="BE2" s="80">
        <f t="shared" ref="BE2:BE33" si="6">SUM(AY2:BC2)</f>
        <v>-28133.849999999977</v>
      </c>
      <c r="BF2" s="115">
        <v>30000</v>
      </c>
      <c r="BG2" s="116">
        <v>0</v>
      </c>
      <c r="BH2" s="7">
        <v>0</v>
      </c>
      <c r="BI2" s="115">
        <v>0</v>
      </c>
      <c r="BJ2" s="115">
        <v>0</v>
      </c>
      <c r="BK2" s="107"/>
      <c r="BL2" s="114">
        <f t="shared" ref="BL2:BL33" si="7">SUM(BE2:BJ2)</f>
        <v>1866.1500000000233</v>
      </c>
    </row>
    <row r="3" spans="1:64" ht="13.8" thickBot="1" x14ac:dyDescent="0.3">
      <c r="A3" s="63">
        <v>101</v>
      </c>
      <c r="B3" s="75" t="s">
        <v>113</v>
      </c>
      <c r="C3" s="61">
        <f>+GETPIVOTDATA("ADJBAL",AGTRAXDATA!$F$1,"BRANCH_NUMBER",101,"COMMODITY_CODE","01")/60</f>
        <v>117140.33333333333</v>
      </c>
      <c r="D3" s="61">
        <f>+GETPIVOTDATA("ADJBAL",AGTRAXDATA!$F$1,"BRANCH_NUMBER",101,"COMMODITY_CODE","02")/56</f>
        <v>0</v>
      </c>
      <c r="E3" s="61">
        <f>+GETPIVOTDATA("ADJBAL",AGTRAXDATA!$F$1,"BRANCH_NUMBER",101,"COMMODITY_CODE","04")/56</f>
        <v>0</v>
      </c>
      <c r="F3" s="61">
        <f>+GETPIVOTDATA("ADJBAL",AGTRAXDATA!$F$1,"BRANCH_NUMBER",101,"COMMODITY_CODE","03")/60</f>
        <v>0</v>
      </c>
      <c r="G3" s="61">
        <f>+GETPIVOTDATA("ADJBAL",AGTRAXDATA!$F$1,"BRANCH_NUMBER",101,"COMMODITY_CODE","22")/25</f>
        <v>0</v>
      </c>
      <c r="H3" s="76">
        <v>0</v>
      </c>
      <c r="I3" s="76"/>
      <c r="J3" s="80">
        <f t="shared" si="0"/>
        <v>117140.33333333333</v>
      </c>
      <c r="K3" s="66"/>
      <c r="L3" s="61">
        <f>+GETPIVOTDATA("LBS_UPDATED",SALESCONTRACTS!$E$1,"BRANCH_NUMBER",101,"COMMODITY_CODE","01")/60</f>
        <v>293.10000000000002</v>
      </c>
      <c r="M3" s="61">
        <f>+GETPIVOTDATA("LBS_UPDATED",SALESCONTRACTS!$E$1,"BRANCH_NUMBER",101,"COMMODITY_CODE","02")/56</f>
        <v>0</v>
      </c>
      <c r="N3" s="61">
        <f>+GETPIVOTDATA("LBS_UPDATED",SALESCONTRACTS!$E$1,"BRANCH_NUMBER",101,"COMMODITY_CODE","04")/56</f>
        <v>0</v>
      </c>
      <c r="O3" s="61">
        <f>+GETPIVOTDATA("LBS_UPDATED",SALESCONTRACTS!$E$1,"BRANCH_NUMBER",101,"COMMODITY_CODE","03")/60</f>
        <v>0</v>
      </c>
      <c r="P3" s="61">
        <f>+GETPIVOTDATA("LBS_UPDATED",SALESCONTRACTS!$E$1,"BRANCH_NUMBER",101,"COMMODITY_CODE","22")/25</f>
        <v>0</v>
      </c>
      <c r="Q3" s="66">
        <v>0</v>
      </c>
      <c r="R3" s="66">
        <v>0</v>
      </c>
      <c r="S3" s="66">
        <v>0</v>
      </c>
      <c r="T3" s="66">
        <v>0</v>
      </c>
      <c r="U3" s="84">
        <v>0</v>
      </c>
      <c r="V3" s="84">
        <v>0</v>
      </c>
      <c r="W3" s="82"/>
      <c r="X3" s="80">
        <f t="shared" si="1"/>
        <v>116847.23333333332</v>
      </c>
      <c r="Y3" s="66"/>
      <c r="Z3" s="66">
        <v>259200</v>
      </c>
      <c r="AA3" s="66">
        <v>0</v>
      </c>
      <c r="AB3" s="66">
        <v>0</v>
      </c>
      <c r="AC3" s="122">
        <f t="shared" si="2"/>
        <v>142059.66666666669</v>
      </c>
      <c r="AD3" s="122"/>
      <c r="AE3" s="80">
        <f t="shared" si="3"/>
        <v>142352.76666666666</v>
      </c>
      <c r="AF3" s="66"/>
      <c r="AG3" s="88">
        <v>0</v>
      </c>
      <c r="AH3" s="88">
        <v>0</v>
      </c>
      <c r="AI3" s="91">
        <v>0</v>
      </c>
      <c r="AJ3" s="84">
        <v>0</v>
      </c>
      <c r="AK3" s="82"/>
      <c r="AL3" s="138">
        <v>150000</v>
      </c>
      <c r="AM3" s="84">
        <v>0</v>
      </c>
      <c r="AN3" s="82"/>
      <c r="AO3" s="80">
        <f t="shared" si="4"/>
        <v>-7647.2333333333372</v>
      </c>
      <c r="AP3" s="63"/>
      <c r="AQ3" s="93">
        <v>0</v>
      </c>
      <c r="AR3" s="93">
        <v>0</v>
      </c>
      <c r="AS3" s="180">
        <v>0</v>
      </c>
      <c r="AT3" s="180">
        <v>0</v>
      </c>
      <c r="AU3" s="180">
        <v>0</v>
      </c>
      <c r="AV3" s="180">
        <v>0</v>
      </c>
      <c r="AW3" s="180">
        <v>0</v>
      </c>
      <c r="AX3" s="184">
        <f t="shared" ref="AX3:AX66" si="8">SUM(AQ3:AW3)</f>
        <v>0</v>
      </c>
      <c r="AY3" s="80">
        <f t="shared" si="5"/>
        <v>-7647.2333333333372</v>
      </c>
      <c r="AZ3" s="180">
        <v>0</v>
      </c>
      <c r="BA3" s="181">
        <v>0</v>
      </c>
      <c r="BB3" s="180">
        <v>0</v>
      </c>
      <c r="BC3" s="180">
        <v>0</v>
      </c>
      <c r="BD3" s="94"/>
      <c r="BE3" s="80">
        <f t="shared" si="6"/>
        <v>-7647.2333333333372</v>
      </c>
      <c r="BF3" s="93">
        <v>0</v>
      </c>
      <c r="BG3" s="116">
        <v>0</v>
      </c>
      <c r="BH3" s="7">
        <v>0</v>
      </c>
      <c r="BI3" s="115">
        <v>0</v>
      </c>
      <c r="BJ3" s="115">
        <v>0</v>
      </c>
      <c r="BK3" s="107"/>
      <c r="BL3" s="114">
        <f t="shared" si="7"/>
        <v>-7647.2333333333372</v>
      </c>
    </row>
    <row r="4" spans="1:64" ht="13.8" thickBot="1" x14ac:dyDescent="0.3">
      <c r="A4" s="63">
        <v>21</v>
      </c>
      <c r="B4" s="75" t="s">
        <v>112</v>
      </c>
      <c r="C4" s="61">
        <f>+GETPIVOTDATA("ADJBAL",AGTRAXDATA!$F$1,"BRANCH_NUMBER",21,"COMMODITY_CODE","01")/60</f>
        <v>206366.28333333333</v>
      </c>
      <c r="D4" s="61">
        <f>+GETPIVOTDATA("ADJBAL",AGTRAXDATA!$F$1,"BRANCH_NUMBER",21,"COMMODITY_CODE","02")/56</f>
        <v>27611.035714285714</v>
      </c>
      <c r="E4" s="61">
        <f>+GETPIVOTDATA("ADJBAL",AGTRAXDATA!$F$1,"BRANCH_NUMBER",21,"COMMODITY_CODE","04")/56</f>
        <v>156541.17857142858</v>
      </c>
      <c r="F4" s="61">
        <f>+GETPIVOTDATA("ADJBAL",AGTRAXDATA!$F$1,"BRANCH_NUMBER",21,"COMMODITY_CODE","03")/60</f>
        <v>105243.66666666667</v>
      </c>
      <c r="G4" s="61">
        <f>+GETPIVOTDATA("ADJBAL",AGTRAXDATA!$F$1,"BRANCH_NUMBER",21,"COMMODITY_CODE","22")/25</f>
        <v>0</v>
      </c>
      <c r="H4" s="76">
        <v>0</v>
      </c>
      <c r="I4" s="77"/>
      <c r="J4" s="80">
        <f t="shared" si="0"/>
        <v>495762.16428571433</v>
      </c>
      <c r="K4" s="66"/>
      <c r="L4" s="61">
        <f>+GETPIVOTDATA("LBS_UPDATED",SALESCONTRACTS!$E$1,"BRANCH_NUMBER",21,"COMMODITY_CODE","01")/60</f>
        <v>0</v>
      </c>
      <c r="M4" s="61">
        <f>+GETPIVOTDATA("LBS_UPDATED",SALESCONTRACTS!$E$1,"BRANCH_NUMBER",21,"COMMODITY_CODE","02")/56</f>
        <v>0</v>
      </c>
      <c r="N4" s="61">
        <f>+GETPIVOTDATA("LBS_UPDATED",SALESCONTRACTS!$E$1,"BRANCH_NUMBER",21,"COMMODITY_CODE","04")/56</f>
        <v>0</v>
      </c>
      <c r="O4" s="61">
        <f>+GETPIVOTDATA("LBS_UPDATED",SALESCONTRACTS!$E$1,"BRANCH_NUMBER",21,"COMMODITY_CODE","03")/60</f>
        <v>0</v>
      </c>
      <c r="P4" s="61">
        <f>+GETPIVOTDATA("LBS_UPDATED",SALESCONTRACTS!$E$1,"BRANCH_NUMBER",21,"COMMODITY_CODE","22")/25</f>
        <v>0</v>
      </c>
      <c r="Q4" s="66">
        <v>0</v>
      </c>
      <c r="R4" s="66">
        <v>0</v>
      </c>
      <c r="S4" s="66">
        <v>0</v>
      </c>
      <c r="T4" s="66">
        <v>0</v>
      </c>
      <c r="U4" s="84">
        <v>0</v>
      </c>
      <c r="V4" s="84">
        <v>0</v>
      </c>
      <c r="W4" s="82"/>
      <c r="X4" s="80">
        <f t="shared" si="1"/>
        <v>495762.16428571433</v>
      </c>
      <c r="Y4" s="66"/>
      <c r="Z4" s="66">
        <v>651600</v>
      </c>
      <c r="AA4" s="66">
        <v>0</v>
      </c>
      <c r="AB4" s="66">
        <v>0</v>
      </c>
      <c r="AC4" s="122">
        <f t="shared" si="2"/>
        <v>155837.83571428567</v>
      </c>
      <c r="AD4" s="122"/>
      <c r="AE4" s="80">
        <f t="shared" si="3"/>
        <v>155837.83571428567</v>
      </c>
      <c r="AF4" s="66"/>
      <c r="AG4" s="88">
        <v>0</v>
      </c>
      <c r="AH4" s="88">
        <v>0</v>
      </c>
      <c r="AI4" s="91">
        <v>0</v>
      </c>
      <c r="AJ4" s="84">
        <v>0</v>
      </c>
      <c r="AK4" s="82"/>
      <c r="AL4" s="138">
        <v>200000</v>
      </c>
      <c r="AM4" s="84">
        <v>0</v>
      </c>
      <c r="AN4" s="82"/>
      <c r="AO4" s="80">
        <f t="shared" si="4"/>
        <v>-44162.164285714331</v>
      </c>
      <c r="AP4" s="63"/>
      <c r="AQ4" s="93">
        <v>0</v>
      </c>
      <c r="AR4" s="93">
        <v>0</v>
      </c>
      <c r="AS4" s="180">
        <v>0</v>
      </c>
      <c r="AT4" s="180">
        <v>0</v>
      </c>
      <c r="AU4" s="64">
        <v>45000</v>
      </c>
      <c r="AV4" s="180">
        <v>0</v>
      </c>
      <c r="AW4" s="180">
        <v>0</v>
      </c>
      <c r="AX4" s="184">
        <f t="shared" si="8"/>
        <v>45000</v>
      </c>
      <c r="AY4" s="80">
        <f t="shared" si="5"/>
        <v>837.83571428566938</v>
      </c>
      <c r="AZ4" s="180">
        <v>0</v>
      </c>
      <c r="BA4" s="181">
        <v>0</v>
      </c>
      <c r="BB4" s="180">
        <v>0</v>
      </c>
      <c r="BC4" s="180">
        <v>0</v>
      </c>
      <c r="BD4" s="94"/>
      <c r="BE4" s="80">
        <f t="shared" si="6"/>
        <v>837.83571428566938</v>
      </c>
      <c r="BF4" s="115">
        <v>0</v>
      </c>
      <c r="BG4" s="116">
        <v>0</v>
      </c>
      <c r="BH4" s="7">
        <v>0</v>
      </c>
      <c r="BI4" s="115">
        <v>0</v>
      </c>
      <c r="BJ4" s="115">
        <v>0</v>
      </c>
      <c r="BK4" s="107"/>
      <c r="BL4" s="114">
        <f t="shared" si="7"/>
        <v>837.83571428566938</v>
      </c>
    </row>
    <row r="5" spans="1:64" ht="13.8" thickBot="1" x14ac:dyDescent="0.3">
      <c r="A5" s="63">
        <v>111</v>
      </c>
      <c r="B5" s="75" t="s">
        <v>111</v>
      </c>
      <c r="C5" s="61">
        <f>+GETPIVOTDATA("ADJBAL",AGTRAXDATA!$F$1,"BRANCH_NUMBER",111,"COMMODITY_CODE","01")/60</f>
        <v>14133.8</v>
      </c>
      <c r="D5" s="61">
        <f>+GETPIVOTDATA("ADJBAL",AGTRAXDATA!$F$1,"BRANCH_NUMBER",111,"COMMODITY_CODE","02")/56</f>
        <v>73551.482142857145</v>
      </c>
      <c r="E5" s="61">
        <f>+GETPIVOTDATA("ADJBAL",AGTRAXDATA!$F$1,"BRANCH_NUMBER",111,"COMMODITY_CODE","04")/56</f>
        <v>223171.39285714287</v>
      </c>
      <c r="F5" s="61">
        <f>+GETPIVOTDATA("ADJBAL",AGTRAXDATA!$F$1,"BRANCH_NUMBER",111,"COMMODITY_CODE","03")/60</f>
        <v>24438.416666666668</v>
      </c>
      <c r="G5" s="61">
        <f>+GETPIVOTDATA("ADJBAL",AGTRAXDATA!$F$1,"BRANCH_NUMBER",111,"COMMODITY_CODE","22")/25</f>
        <v>0</v>
      </c>
      <c r="H5" s="76">
        <v>0</v>
      </c>
      <c r="I5" s="76"/>
      <c r="J5" s="80">
        <f t="shared" si="0"/>
        <v>335295.09166666673</v>
      </c>
      <c r="K5" s="66"/>
      <c r="L5" s="61">
        <f>+GETPIVOTDATA("LBS_UPDATED",SALESCONTRACTS!$E$1,"BRANCH_NUMBER",111,"COMMODITY_CODE","01")/60</f>
        <v>0</v>
      </c>
      <c r="M5" s="61">
        <f>+GETPIVOTDATA("LBS_UPDATED",SALESCONTRACTS!$E$1,"BRANCH_NUMBER",111,"COMMODITY_CODE","02")/56</f>
        <v>0</v>
      </c>
      <c r="N5" s="61">
        <f>+GETPIVOTDATA("LBS_UPDATED",SALESCONTRACTS!$E$1,"BRANCH_NUMBER",111,"COMMODITY_CODE","04")/56</f>
        <v>70663.928571428565</v>
      </c>
      <c r="O5" s="61">
        <f>+GETPIVOTDATA("LBS_UPDATED",SALESCONTRACTS!$E$1,"BRANCH_NUMBER",111,"COMMODITY_CODE","03")/60</f>
        <v>0</v>
      </c>
      <c r="P5" s="61">
        <f>+GETPIVOTDATA("LBS_UPDATED",SALESCONTRACTS!$E$1,"BRANCH_NUMBER",111,"COMMODITY_CODE","22")/25</f>
        <v>0</v>
      </c>
      <c r="Q5" s="66">
        <v>0</v>
      </c>
      <c r="R5" s="66">
        <v>0</v>
      </c>
      <c r="S5" s="66">
        <v>0</v>
      </c>
      <c r="T5" s="66">
        <v>0</v>
      </c>
      <c r="U5" s="84">
        <v>0</v>
      </c>
      <c r="V5" s="84">
        <v>0</v>
      </c>
      <c r="W5" s="82"/>
      <c r="X5" s="80">
        <f t="shared" si="1"/>
        <v>264631.16309523815</v>
      </c>
      <c r="Y5" s="66"/>
      <c r="Z5" s="66">
        <v>406200</v>
      </c>
      <c r="AA5" s="66">
        <v>0</v>
      </c>
      <c r="AB5" s="66">
        <v>0</v>
      </c>
      <c r="AC5" s="122">
        <f t="shared" si="2"/>
        <v>70904.908333333267</v>
      </c>
      <c r="AD5" s="122"/>
      <c r="AE5" s="80">
        <f t="shared" si="3"/>
        <v>141568.83690476185</v>
      </c>
      <c r="AF5" s="66"/>
      <c r="AG5" s="88">
        <v>0</v>
      </c>
      <c r="AH5" s="88">
        <v>0</v>
      </c>
      <c r="AI5" s="91">
        <v>0</v>
      </c>
      <c r="AJ5" s="84">
        <v>0</v>
      </c>
      <c r="AK5" s="82"/>
      <c r="AL5" s="138">
        <v>400000</v>
      </c>
      <c r="AM5" s="84">
        <v>0</v>
      </c>
      <c r="AN5" s="82"/>
      <c r="AO5" s="80">
        <f t="shared" si="4"/>
        <v>-258431.16309523815</v>
      </c>
      <c r="AP5" s="63"/>
      <c r="AQ5" s="93">
        <v>0</v>
      </c>
      <c r="AR5" s="93">
        <v>0</v>
      </c>
      <c r="AS5" s="180">
        <v>0</v>
      </c>
      <c r="AT5" s="180">
        <v>0</v>
      </c>
      <c r="AU5" s="64">
        <v>153000</v>
      </c>
      <c r="AV5" s="180">
        <v>0</v>
      </c>
      <c r="AW5" s="180">
        <v>0</v>
      </c>
      <c r="AX5" s="184">
        <f t="shared" si="8"/>
        <v>153000</v>
      </c>
      <c r="AY5" s="80">
        <f t="shared" si="5"/>
        <v>-105431.16309523815</v>
      </c>
      <c r="AZ5" s="180">
        <v>0</v>
      </c>
      <c r="BA5" s="181">
        <v>0</v>
      </c>
      <c r="BB5" s="180">
        <v>0</v>
      </c>
      <c r="BC5" s="180">
        <v>0</v>
      </c>
      <c r="BD5" s="94"/>
      <c r="BE5" s="80">
        <f t="shared" si="6"/>
        <v>-105431.16309523815</v>
      </c>
      <c r="BF5" s="64">
        <v>6000</v>
      </c>
      <c r="BG5" s="64">
        <v>73000</v>
      </c>
      <c r="BH5" s="7">
        <v>0</v>
      </c>
      <c r="BI5" s="64">
        <v>25000</v>
      </c>
      <c r="BJ5" s="115">
        <v>0</v>
      </c>
      <c r="BK5" s="107"/>
      <c r="BL5" s="114">
        <f t="shared" si="7"/>
        <v>-1431.1630952381529</v>
      </c>
    </row>
    <row r="6" spans="1:64" ht="13.8" thickBot="1" x14ac:dyDescent="0.3">
      <c r="A6" s="63">
        <v>131</v>
      </c>
      <c r="B6" s="75" t="s">
        <v>110</v>
      </c>
      <c r="C6" s="61">
        <f>+GETPIVOTDATA("ADJBAL",AGTRAXDATA!$F$1,"BRANCH_NUMBER",131,"COMMODITY_CODE","01")/60</f>
        <v>207353.2</v>
      </c>
      <c r="D6" s="61">
        <f>+GETPIVOTDATA("ADJBAL",AGTRAXDATA!$F$1,"BRANCH_NUMBER",131,"COMMODITY_CODE","02")/56</f>
        <v>0</v>
      </c>
      <c r="E6" s="61">
        <f>+GETPIVOTDATA("ADJBAL",AGTRAXDATA!$F$1,"BRANCH_NUMBER",131,"COMMODITY_CODE","04")/56</f>
        <v>0</v>
      </c>
      <c r="F6" s="61">
        <f>+GETPIVOTDATA("ADJBAL",AGTRAXDATA!$F$1,"BRANCH_NUMBER",131,"COMMODITY_CODE","03")/60</f>
        <v>0</v>
      </c>
      <c r="G6" s="61">
        <f>+GETPIVOTDATA("ADJBAL",AGTRAXDATA!$F$1,"BRANCH_NUMBER",131,"COMMODITY_CODE","22")/25</f>
        <v>0</v>
      </c>
      <c r="H6" s="76">
        <v>0</v>
      </c>
      <c r="I6" s="76"/>
      <c r="J6" s="80">
        <f t="shared" si="0"/>
        <v>207353.2</v>
      </c>
      <c r="K6" s="66"/>
      <c r="L6" s="61">
        <f>+GETPIVOTDATA("LBS_UPDATED",SALESCONTRACTS!$E$1,"BRANCH_NUMBER",131,"COMMODITY_CODE","01")/60</f>
        <v>0</v>
      </c>
      <c r="M6" s="61">
        <f>+GETPIVOTDATA("LBS_UPDATED",SALESCONTRACTS!$E$1,"BRANCH_NUMBER",131,"COMMODITY_CODE","02")/56</f>
        <v>0</v>
      </c>
      <c r="N6" s="61">
        <f>+GETPIVOTDATA("LBS_UPDATED",SALESCONTRACTS!$E$1,"BRANCH_NUMBER",131,"COMMODITY_CODE","04")/56</f>
        <v>0</v>
      </c>
      <c r="O6" s="61">
        <f>+GETPIVOTDATA("LBS_UPDATED",SALESCONTRACTS!$E$1,"BRANCH_NUMBER",131,"COMMODITY_CODE","03")/60</f>
        <v>0</v>
      </c>
      <c r="P6" s="61">
        <f>+GETPIVOTDATA("LBS_UPDATED",SALESCONTRACTS!$E$1,"BRANCH_NUMBER",131,"COMMODITY_CODE","22")/25</f>
        <v>0</v>
      </c>
      <c r="Q6" s="66">
        <v>0</v>
      </c>
      <c r="R6" s="66">
        <v>0</v>
      </c>
      <c r="S6" s="66">
        <v>0</v>
      </c>
      <c r="T6" s="66">
        <v>0</v>
      </c>
      <c r="U6" s="84">
        <v>0</v>
      </c>
      <c r="V6" s="84">
        <v>0</v>
      </c>
      <c r="W6" s="82"/>
      <c r="X6" s="80">
        <f t="shared" si="1"/>
        <v>207353.2</v>
      </c>
      <c r="Y6" s="66"/>
      <c r="Z6" s="66">
        <v>106200</v>
      </c>
      <c r="AA6" s="66">
        <v>126000</v>
      </c>
      <c r="AB6" s="66">
        <v>0</v>
      </c>
      <c r="AC6" s="122">
        <f t="shared" si="2"/>
        <v>24846.799999999988</v>
      </c>
      <c r="AD6" s="122"/>
      <c r="AE6" s="80">
        <f t="shared" si="3"/>
        <v>24846.799999999988</v>
      </c>
      <c r="AF6" s="66"/>
      <c r="AG6" s="88">
        <v>0</v>
      </c>
      <c r="AH6" s="88">
        <v>0</v>
      </c>
      <c r="AI6" s="91">
        <v>0</v>
      </c>
      <c r="AJ6" s="84">
        <v>0</v>
      </c>
      <c r="AK6" s="82"/>
      <c r="AL6" s="138">
        <v>0</v>
      </c>
      <c r="AM6" s="84">
        <v>0</v>
      </c>
      <c r="AN6" s="82"/>
      <c r="AO6" s="80">
        <f t="shared" si="4"/>
        <v>24846.799999999988</v>
      </c>
      <c r="AP6" s="63"/>
      <c r="AQ6" s="93">
        <v>0</v>
      </c>
      <c r="AR6" s="93">
        <v>0</v>
      </c>
      <c r="AS6" s="180">
        <v>0</v>
      </c>
      <c r="AT6" s="180">
        <v>0</v>
      </c>
      <c r="AU6" s="180">
        <v>0</v>
      </c>
      <c r="AV6" s="180">
        <v>0</v>
      </c>
      <c r="AW6" s="180">
        <v>0</v>
      </c>
      <c r="AX6" s="184">
        <f t="shared" si="8"/>
        <v>0</v>
      </c>
      <c r="AY6" s="80">
        <f t="shared" si="5"/>
        <v>24846.799999999988</v>
      </c>
      <c r="AZ6" s="180">
        <v>0</v>
      </c>
      <c r="BA6" s="181">
        <v>0</v>
      </c>
      <c r="BB6" s="180">
        <v>0</v>
      </c>
      <c r="BC6" s="180">
        <v>0</v>
      </c>
      <c r="BD6" s="94"/>
      <c r="BE6" s="80">
        <f t="shared" si="6"/>
        <v>24846.799999999988</v>
      </c>
      <c r="BF6" s="115">
        <v>0</v>
      </c>
      <c r="BG6" s="115">
        <v>0</v>
      </c>
      <c r="BH6" s="7">
        <v>0</v>
      </c>
      <c r="BI6" s="115">
        <v>0</v>
      </c>
      <c r="BJ6" s="115">
        <v>0</v>
      </c>
      <c r="BK6" s="107"/>
      <c r="BL6" s="114">
        <f t="shared" si="7"/>
        <v>24846.799999999988</v>
      </c>
    </row>
    <row r="7" spans="1:64" ht="13.8" thickBot="1" x14ac:dyDescent="0.3">
      <c r="A7" s="63">
        <v>191</v>
      </c>
      <c r="B7" s="75" t="s">
        <v>109</v>
      </c>
      <c r="C7" s="61">
        <f>+GETPIVOTDATA("ADJBAL",AGTRAXDATA!$F$1,"BRANCH_NUMBER",191,"COMMODITY_CODE","01")/60</f>
        <v>433954.13333333336</v>
      </c>
      <c r="D7" s="61">
        <f>+GETPIVOTDATA("ADJBAL",AGTRAXDATA!$F$1,"BRANCH_NUMBER",191,"COMMODITY_CODE","02")/56</f>
        <v>0</v>
      </c>
      <c r="E7" s="61">
        <f>+GETPIVOTDATA("ADJBAL",AGTRAXDATA!$F$1,"BRANCH_NUMBER",191,"COMMODITY_CODE","04")/56</f>
        <v>217285.21428571429</v>
      </c>
      <c r="F7" s="61">
        <f>+GETPIVOTDATA("ADJBAL",AGTRAXDATA!$F$1,"BRANCH_NUMBER",191,"COMMODITY_CODE","03")/60</f>
        <v>231821.46666666667</v>
      </c>
      <c r="G7" s="61">
        <f>+GETPIVOTDATA("ADJBAL",AGTRAXDATA!$F$1,"BRANCH_NUMBER",191,"COMMODITY_CODE","22")/25</f>
        <v>0</v>
      </c>
      <c r="H7" s="76">
        <v>0</v>
      </c>
      <c r="I7" s="76"/>
      <c r="J7" s="80">
        <f t="shared" si="0"/>
        <v>883060.8142857143</v>
      </c>
      <c r="K7" s="66"/>
      <c r="L7" s="61">
        <f>+GETPIVOTDATA("LBS_UPDATED",SALESCONTRACTS!$E$1,"BRANCH_NUMBER",191,"COMMODITY_CODE","01")/60</f>
        <v>0</v>
      </c>
      <c r="M7" s="61">
        <f>+GETPIVOTDATA("LBS_UPDATED",SALESCONTRACTS!$E$1,"BRANCH_NUMBER",191,"COMMODITY_CODE","02")/56</f>
        <v>0</v>
      </c>
      <c r="N7" s="61">
        <f>+GETPIVOTDATA("LBS_UPDATED",SALESCONTRACTS!$E$1,"BRANCH_NUMBER",191,"COMMODITY_CODE","04")/56</f>
        <v>0</v>
      </c>
      <c r="O7" s="61">
        <f>+GETPIVOTDATA("LBS_UPDATED",SALESCONTRACTS!$E$1,"BRANCH_NUMBER",191,"COMMODITY_CODE","03")/60</f>
        <v>0</v>
      </c>
      <c r="P7" s="61">
        <f>+GETPIVOTDATA("LBS_UPDATED",SALESCONTRACTS!$E$1,"BRANCH_NUMBER",191,"COMMODITY_CODE","22")/25</f>
        <v>0</v>
      </c>
      <c r="Q7" s="66">
        <v>0</v>
      </c>
      <c r="R7" s="66">
        <v>0</v>
      </c>
      <c r="S7" s="66">
        <v>0</v>
      </c>
      <c r="T7" s="66">
        <v>0</v>
      </c>
      <c r="U7" s="84">
        <v>0</v>
      </c>
      <c r="V7" s="84">
        <v>0</v>
      </c>
      <c r="W7" s="82"/>
      <c r="X7" s="80">
        <f t="shared" si="1"/>
        <v>883060.8142857143</v>
      </c>
      <c r="Y7" s="66"/>
      <c r="Z7" s="66">
        <v>1015000</v>
      </c>
      <c r="AA7" s="66">
        <v>85500</v>
      </c>
      <c r="AB7" s="66">
        <v>0</v>
      </c>
      <c r="AC7" s="122">
        <f t="shared" si="2"/>
        <v>217439.1857142857</v>
      </c>
      <c r="AD7" s="122"/>
      <c r="AE7" s="80">
        <f t="shared" si="3"/>
        <v>217439.1857142857</v>
      </c>
      <c r="AF7" s="66"/>
      <c r="AG7" s="88">
        <v>0</v>
      </c>
      <c r="AH7" s="88">
        <v>0</v>
      </c>
      <c r="AI7" s="91">
        <v>0</v>
      </c>
      <c r="AJ7" s="84">
        <v>0</v>
      </c>
      <c r="AK7" s="82"/>
      <c r="AL7" s="138">
        <v>125000</v>
      </c>
      <c r="AM7" s="84">
        <v>0</v>
      </c>
      <c r="AN7" s="82"/>
      <c r="AO7" s="80">
        <f t="shared" si="4"/>
        <v>92439.185714285704</v>
      </c>
      <c r="AP7" s="63"/>
      <c r="AQ7" s="93">
        <v>0</v>
      </c>
      <c r="AR7" s="93">
        <v>0</v>
      </c>
      <c r="AS7" s="180">
        <v>0</v>
      </c>
      <c r="AT7" s="180">
        <v>0</v>
      </c>
      <c r="AU7" s="180">
        <v>0</v>
      </c>
      <c r="AV7" s="180">
        <v>0</v>
      </c>
      <c r="AW7" s="180">
        <v>0</v>
      </c>
      <c r="AX7" s="184">
        <f t="shared" si="8"/>
        <v>0</v>
      </c>
      <c r="AY7" s="80">
        <f t="shared" si="5"/>
        <v>92439.185714285704</v>
      </c>
      <c r="AZ7" s="180">
        <v>0</v>
      </c>
      <c r="BA7" s="181">
        <v>0</v>
      </c>
      <c r="BB7" s="67">
        <v>217000</v>
      </c>
      <c r="BC7" s="180">
        <v>0</v>
      </c>
      <c r="BD7" s="94"/>
      <c r="BE7" s="80">
        <f t="shared" si="6"/>
        <v>309439.1857142857</v>
      </c>
      <c r="BF7" s="115">
        <v>0</v>
      </c>
      <c r="BG7" s="115">
        <v>0</v>
      </c>
      <c r="BH7" s="7">
        <v>0</v>
      </c>
      <c r="BI7" s="120">
        <v>45000</v>
      </c>
      <c r="BJ7" s="115">
        <v>0</v>
      </c>
      <c r="BK7" s="107"/>
      <c r="BL7" s="114">
        <f t="shared" si="7"/>
        <v>354439.1857142857</v>
      </c>
    </row>
    <row r="8" spans="1:64" ht="13.8" thickBot="1" x14ac:dyDescent="0.3">
      <c r="A8" s="63">
        <v>190</v>
      </c>
      <c r="B8" s="75" t="s">
        <v>164</v>
      </c>
      <c r="C8" s="61">
        <f>+GETPIVOTDATA("ADJBAL",AGTRAXDATA!$F$1,"BRANCH_NUMBER",190,"COMMODITY_CODE","01")/60</f>
        <v>782976</v>
      </c>
      <c r="D8" s="61">
        <f>+GETPIVOTDATA("ADJBAL",AGTRAXDATA!$F$1,"BRANCH_NUMBER",190,"COMMODITY_CODE","02")/56</f>
        <v>0</v>
      </c>
      <c r="E8" s="61">
        <f>+GETPIVOTDATA("ADJBAL",AGTRAXDATA!$F$1,"BRANCH_NUMBER",190,"COMMODITY_CODE","04")/56</f>
        <v>0</v>
      </c>
      <c r="F8" s="61">
        <f>+GETPIVOTDATA("ADJBAL",AGTRAXDATA!$F$1,"BRANCH_NUMBER",190,"COMMODITY_CODE","03")/60</f>
        <v>0</v>
      </c>
      <c r="G8" s="61">
        <f>+GETPIVOTDATA("ADJBAL",AGTRAXDATA!$F$1,"BRANCH_NUMBER",190,"COMMODITY_CODE","22")/25</f>
        <v>0</v>
      </c>
      <c r="H8" s="76">
        <v>0</v>
      </c>
      <c r="I8" s="76"/>
      <c r="J8" s="80">
        <f t="shared" si="0"/>
        <v>782976</v>
      </c>
      <c r="K8" s="66"/>
      <c r="L8" s="61">
        <f>+GETPIVOTDATA("LBS_UPDATED",SALESCONTRACTS!$E$1,"BRANCH_NUMBER",190,"COMMODITY_CODE","01")/60</f>
        <v>0</v>
      </c>
      <c r="M8" s="61">
        <f>+GETPIVOTDATA("LBS_UPDATED",SALESCONTRACTS!$E$1,"BRANCH_NUMBER",190,"COMMODITY_CODE","02")/56</f>
        <v>0</v>
      </c>
      <c r="N8" s="61">
        <f>+GETPIVOTDATA("LBS_UPDATED",SALESCONTRACTS!$E$1,"BRANCH_NUMBER",190,"COMMODITY_CODE","04")/56</f>
        <v>0</v>
      </c>
      <c r="O8" s="61">
        <f>+GETPIVOTDATA("LBS_UPDATED",SALESCONTRACTS!$E$1,"BRANCH_NUMBER",190,"COMMODITY_CODE","03")/60</f>
        <v>0</v>
      </c>
      <c r="P8" s="61">
        <f>+GETPIVOTDATA("LBS_UPDATED",SALESCONTRACTS!$E$1,"BRANCH_NUMBER",190,"COMMODITY_CODE","22")/25</f>
        <v>0</v>
      </c>
      <c r="Q8" s="66">
        <v>0</v>
      </c>
      <c r="R8" s="66">
        <v>0</v>
      </c>
      <c r="S8" s="66">
        <v>0</v>
      </c>
      <c r="T8" s="66">
        <v>0</v>
      </c>
      <c r="U8" s="84">
        <v>0</v>
      </c>
      <c r="V8" s="84">
        <v>0</v>
      </c>
      <c r="W8" s="82"/>
      <c r="X8" s="80">
        <f t="shared" si="1"/>
        <v>782976</v>
      </c>
      <c r="Y8" s="66"/>
      <c r="Z8" s="66">
        <v>0</v>
      </c>
      <c r="AA8" s="66">
        <v>800000</v>
      </c>
      <c r="AB8" s="66">
        <v>0</v>
      </c>
      <c r="AC8" s="122">
        <f t="shared" si="2"/>
        <v>17024</v>
      </c>
      <c r="AD8" s="122"/>
      <c r="AE8" s="80">
        <f t="shared" si="3"/>
        <v>17024</v>
      </c>
      <c r="AF8" s="66"/>
      <c r="AG8" s="88">
        <v>0</v>
      </c>
      <c r="AH8" s="88">
        <v>0</v>
      </c>
      <c r="AI8" s="91">
        <v>0</v>
      </c>
      <c r="AJ8" s="84">
        <v>0</v>
      </c>
      <c r="AK8" s="82"/>
      <c r="AL8" s="138">
        <v>400000</v>
      </c>
      <c r="AM8" s="84">
        <v>0</v>
      </c>
      <c r="AN8" s="82"/>
      <c r="AO8" s="80">
        <f t="shared" si="4"/>
        <v>-382976</v>
      </c>
      <c r="AP8" s="63"/>
      <c r="AQ8" s="93">
        <v>0</v>
      </c>
      <c r="AR8" s="93">
        <v>0</v>
      </c>
      <c r="AS8" s="180">
        <v>0</v>
      </c>
      <c r="AT8" s="180">
        <v>0</v>
      </c>
      <c r="AU8" s="180">
        <v>0</v>
      </c>
      <c r="AV8" s="180">
        <v>0</v>
      </c>
      <c r="AW8" s="180">
        <v>0</v>
      </c>
      <c r="AX8" s="184">
        <f t="shared" si="8"/>
        <v>0</v>
      </c>
      <c r="AY8" s="80">
        <f t="shared" si="5"/>
        <v>-382976</v>
      </c>
      <c r="AZ8" s="180">
        <v>0</v>
      </c>
      <c r="BA8" s="181">
        <v>0</v>
      </c>
      <c r="BB8" s="181">
        <v>0</v>
      </c>
      <c r="BC8" s="180">
        <v>0</v>
      </c>
      <c r="BD8" s="94"/>
      <c r="BE8" s="80">
        <f t="shared" si="6"/>
        <v>-382976</v>
      </c>
      <c r="BF8" s="115">
        <v>400000</v>
      </c>
      <c r="BG8" s="115">
        <v>0</v>
      </c>
      <c r="BH8" s="7">
        <v>0</v>
      </c>
      <c r="BI8" s="115">
        <v>0</v>
      </c>
      <c r="BJ8" s="115">
        <v>0</v>
      </c>
      <c r="BK8" s="107"/>
      <c r="BL8" s="114">
        <f t="shared" si="7"/>
        <v>17024</v>
      </c>
    </row>
    <row r="9" spans="1:64" ht="13.8" thickBot="1" x14ac:dyDescent="0.3">
      <c r="A9" s="63">
        <v>141</v>
      </c>
      <c r="B9" s="75" t="s">
        <v>34</v>
      </c>
      <c r="C9" s="61">
        <f>+GETPIVOTDATA("ADJBAL",AGTRAXDATA!$F$1,"BRANCH_NUMBER",141,"COMMODITY_CODE","01")/60</f>
        <v>125095.91666666667</v>
      </c>
      <c r="D9" s="61">
        <f>+GETPIVOTDATA("ADJBAL",AGTRAXDATA!$F$1,"BRANCH_NUMBER",141,"COMMODITY_CODE","02")/56</f>
        <v>0</v>
      </c>
      <c r="E9" s="61">
        <f>+GETPIVOTDATA("ADJBAL",AGTRAXDATA!$F$1,"BRANCH_NUMBER",141,"COMMODITY_CODE","04")/56</f>
        <v>0</v>
      </c>
      <c r="F9" s="61">
        <f>+GETPIVOTDATA("ADJBAL",AGTRAXDATA!$F$1,"BRANCH_NUMBER",141,"COMMODITY_CODE","03")/60</f>
        <v>0</v>
      </c>
      <c r="G9" s="61">
        <f>+GETPIVOTDATA("ADJBAL",AGTRAXDATA!$F$1,"BRANCH_NUMBER",141,"COMMODITY_CODE","22")/25</f>
        <v>0</v>
      </c>
      <c r="H9" s="76">
        <v>0</v>
      </c>
      <c r="I9" s="76"/>
      <c r="J9" s="80">
        <f t="shared" si="0"/>
        <v>125095.91666666667</v>
      </c>
      <c r="K9" s="66"/>
      <c r="L9" s="61">
        <f>+GETPIVOTDATA("LBS_UPDATED",SALESCONTRACTS!$E$1,"BRANCH_NUMBER",141,"COMMODITY_CODE","01")/60</f>
        <v>15978.233333333334</v>
      </c>
      <c r="M9" s="61">
        <f>+GETPIVOTDATA("LBS_UPDATED",SALESCONTRACTS!$E$1,"BRANCH_NUMBER",141,"COMMODITY_CODE","02")/56</f>
        <v>0</v>
      </c>
      <c r="N9" s="61">
        <f>+GETPIVOTDATA("LBS_UPDATED",SALESCONTRACTS!$E$1,"BRANCH_NUMBER",141,"COMMODITY_CODE","04")/56</f>
        <v>0</v>
      </c>
      <c r="O9" s="61">
        <f>+GETPIVOTDATA("LBS_UPDATED",SALESCONTRACTS!$E$1,"BRANCH_NUMBER",141,"COMMODITY_CODE","03")/60</f>
        <v>0</v>
      </c>
      <c r="P9" s="61">
        <f>+GETPIVOTDATA("LBS_UPDATED",SALESCONTRACTS!$E$1,"BRANCH_NUMBER",141,"COMMODITY_CODE","22")/25</f>
        <v>0</v>
      </c>
      <c r="Q9" s="66">
        <v>0</v>
      </c>
      <c r="R9" s="66">
        <v>0</v>
      </c>
      <c r="S9" s="66">
        <v>0</v>
      </c>
      <c r="T9" s="66">
        <v>0</v>
      </c>
      <c r="U9" s="84">
        <v>0</v>
      </c>
      <c r="V9" s="84">
        <v>0</v>
      </c>
      <c r="W9" s="82"/>
      <c r="X9" s="80">
        <f t="shared" si="1"/>
        <v>109117.68333333333</v>
      </c>
      <c r="Y9" s="66"/>
      <c r="Z9" s="66">
        <v>165655</v>
      </c>
      <c r="AA9" s="66">
        <v>0</v>
      </c>
      <c r="AB9" s="66">
        <v>0</v>
      </c>
      <c r="AC9" s="122">
        <f t="shared" si="2"/>
        <v>40559.083333333328</v>
      </c>
      <c r="AD9" s="122"/>
      <c r="AE9" s="80">
        <f t="shared" si="3"/>
        <v>56537.316666666666</v>
      </c>
      <c r="AF9" s="66"/>
      <c r="AG9" s="88">
        <v>0</v>
      </c>
      <c r="AH9" s="88">
        <v>0</v>
      </c>
      <c r="AI9" s="91">
        <v>0</v>
      </c>
      <c r="AJ9" s="84">
        <v>0</v>
      </c>
      <c r="AK9" s="82"/>
      <c r="AL9" s="138">
        <v>150000</v>
      </c>
      <c r="AM9" s="84">
        <v>0</v>
      </c>
      <c r="AN9" s="82"/>
      <c r="AO9" s="80">
        <f t="shared" si="4"/>
        <v>-93462.683333333334</v>
      </c>
      <c r="AP9" s="63"/>
      <c r="AQ9" s="93">
        <v>0</v>
      </c>
      <c r="AR9" s="93">
        <v>0</v>
      </c>
      <c r="AS9" s="64">
        <v>95000</v>
      </c>
      <c r="AT9" s="180">
        <v>0</v>
      </c>
      <c r="AU9" s="180">
        <v>0</v>
      </c>
      <c r="AV9" s="180">
        <v>0</v>
      </c>
      <c r="AW9" s="180">
        <v>0</v>
      </c>
      <c r="AX9" s="184">
        <f t="shared" si="8"/>
        <v>95000</v>
      </c>
      <c r="AY9" s="80">
        <f t="shared" si="5"/>
        <v>1537.3166666666657</v>
      </c>
      <c r="AZ9" s="180">
        <v>0</v>
      </c>
      <c r="BA9" s="181">
        <v>0</v>
      </c>
      <c r="BB9" s="181">
        <v>0</v>
      </c>
      <c r="BC9" s="180">
        <v>0</v>
      </c>
      <c r="BD9" s="94"/>
      <c r="BE9" s="80">
        <f t="shared" si="6"/>
        <v>1537.3166666666657</v>
      </c>
      <c r="BF9" s="115">
        <v>0</v>
      </c>
      <c r="BG9" s="115">
        <v>0</v>
      </c>
      <c r="BH9" s="7">
        <v>0</v>
      </c>
      <c r="BI9" s="115">
        <v>0</v>
      </c>
      <c r="BJ9" s="115">
        <v>0</v>
      </c>
      <c r="BK9" s="107"/>
      <c r="BL9" s="114">
        <f t="shared" si="7"/>
        <v>1537.3166666666657</v>
      </c>
    </row>
    <row r="10" spans="1:64" ht="13.8" thickBot="1" x14ac:dyDescent="0.3">
      <c r="A10" s="63">
        <v>91</v>
      </c>
      <c r="B10" s="75" t="s">
        <v>35</v>
      </c>
      <c r="C10" s="61">
        <f>+GETPIVOTDATA("ADJBAL",AGTRAXDATA!$F$1,"BRANCH_NUMBER",91,"COMMODITY_CODE","01")/60</f>
        <v>380108.75</v>
      </c>
      <c r="D10" s="61">
        <f>+GETPIVOTDATA("ADJBAL",AGTRAXDATA!$F$1,"BRANCH_NUMBER",91,"COMMODITY_CODE","02")/56</f>
        <v>-80.214285714285708</v>
      </c>
      <c r="E10" s="61">
        <f>+GETPIVOTDATA("ADJBAL",AGTRAXDATA!$F$1,"BRANCH_NUMBER",91,"COMMODITY_CODE","04")/56</f>
        <v>0</v>
      </c>
      <c r="F10" s="61">
        <f>+GETPIVOTDATA("ADJBAL",AGTRAXDATA!$F$1,"BRANCH_NUMBER",91,"COMMODITY_CODE","03")/60</f>
        <v>130016.98333333334</v>
      </c>
      <c r="G10" s="61">
        <f>+GETPIVOTDATA("ADJBAL",AGTRAXDATA!$F$1,"BRANCH_NUMBER",91,"COMMODITY_CODE","22")/25</f>
        <v>0</v>
      </c>
      <c r="H10" s="76">
        <v>0</v>
      </c>
      <c r="I10" s="76"/>
      <c r="J10" s="80">
        <f t="shared" si="0"/>
        <v>510045.51904761908</v>
      </c>
      <c r="K10" s="66"/>
      <c r="L10" s="61">
        <f>+GETPIVOTDATA("LBS_UPDATED",SALESCONTRACTS!$E$1,"BRANCH_NUMBER",91,"COMMODITY_CODE","01")/60</f>
        <v>0</v>
      </c>
      <c r="M10" s="61">
        <f>+GETPIVOTDATA("LBS_UPDATED",SALESCONTRACTS!$E$1,"BRANCH_NUMBER",91,"COMMODITY_CODE","02")/56</f>
        <v>0</v>
      </c>
      <c r="N10" s="61">
        <f>+GETPIVOTDATA("LBS_UPDATED",SALESCONTRACTS!$E$1,"BRANCH_NUMBER",91,"COMMODITY_CODE","04")/56</f>
        <v>0</v>
      </c>
      <c r="O10" s="61">
        <f>+GETPIVOTDATA("LBS_UPDATED",SALESCONTRACTS!$E$1,"BRANCH_NUMBER",91,"COMMODITY_CODE","03")/60</f>
        <v>0</v>
      </c>
      <c r="P10" s="61">
        <f>+GETPIVOTDATA("LBS_UPDATED",SALESCONTRACTS!$E$1,"BRANCH_NUMBER",91,"COMMODITY_CODE","22")/25</f>
        <v>0</v>
      </c>
      <c r="Q10" s="66">
        <v>0</v>
      </c>
      <c r="R10" s="66">
        <v>0</v>
      </c>
      <c r="S10" s="66">
        <v>0</v>
      </c>
      <c r="T10" s="66">
        <v>0</v>
      </c>
      <c r="U10" s="84">
        <v>0</v>
      </c>
      <c r="V10" s="84">
        <v>0</v>
      </c>
      <c r="W10" s="82"/>
      <c r="X10" s="80">
        <f t="shared" si="1"/>
        <v>510045.51904761908</v>
      </c>
      <c r="Y10" s="66"/>
      <c r="Z10" s="66">
        <v>607500</v>
      </c>
      <c r="AA10" s="66">
        <v>0</v>
      </c>
      <c r="AB10" s="66">
        <v>0</v>
      </c>
      <c r="AC10" s="122">
        <f t="shared" si="2"/>
        <v>97454.480952380924</v>
      </c>
      <c r="AD10" s="122"/>
      <c r="AE10" s="80">
        <f t="shared" si="3"/>
        <v>97454.480952380924</v>
      </c>
      <c r="AF10" s="66"/>
      <c r="AG10" s="88">
        <v>0</v>
      </c>
      <c r="AH10" s="88">
        <v>0</v>
      </c>
      <c r="AI10" s="91">
        <v>0</v>
      </c>
      <c r="AJ10" s="84">
        <v>0</v>
      </c>
      <c r="AK10" s="82"/>
      <c r="AL10" s="86">
        <v>0</v>
      </c>
      <c r="AM10" s="84">
        <v>0</v>
      </c>
      <c r="AN10" s="82"/>
      <c r="AO10" s="80">
        <f t="shared" si="4"/>
        <v>97454.480952380924</v>
      </c>
      <c r="AP10" s="63"/>
      <c r="AQ10" s="93">
        <v>0</v>
      </c>
      <c r="AR10" s="93">
        <v>0</v>
      </c>
      <c r="AS10" s="180">
        <v>0</v>
      </c>
      <c r="AT10" s="180">
        <v>0</v>
      </c>
      <c r="AU10" s="180">
        <v>0</v>
      </c>
      <c r="AV10" s="180">
        <v>0</v>
      </c>
      <c r="AW10" s="180">
        <v>0</v>
      </c>
      <c r="AX10" s="184">
        <f t="shared" si="8"/>
        <v>0</v>
      </c>
      <c r="AY10" s="80">
        <f t="shared" si="5"/>
        <v>97454.480952380924</v>
      </c>
      <c r="AZ10" s="180">
        <v>0</v>
      </c>
      <c r="BA10" s="181">
        <v>0</v>
      </c>
      <c r="BB10" s="181">
        <v>0</v>
      </c>
      <c r="BC10" s="180">
        <v>0</v>
      </c>
      <c r="BD10" s="94"/>
      <c r="BE10" s="80">
        <f t="shared" si="6"/>
        <v>97454.480952380924</v>
      </c>
      <c r="BF10" s="115">
        <v>0</v>
      </c>
      <c r="BG10" s="115">
        <v>0</v>
      </c>
      <c r="BH10" s="7">
        <v>0</v>
      </c>
      <c r="BI10" s="115">
        <v>0</v>
      </c>
      <c r="BJ10" s="115">
        <v>0</v>
      </c>
      <c r="BK10" s="107"/>
      <c r="BL10" s="114">
        <f t="shared" si="7"/>
        <v>97454.480952380924</v>
      </c>
    </row>
    <row r="11" spans="1:64" ht="13.8" thickBot="1" x14ac:dyDescent="0.3">
      <c r="A11" s="63">
        <v>31</v>
      </c>
      <c r="B11" s="75" t="s">
        <v>36</v>
      </c>
      <c r="C11" s="61">
        <f>+GETPIVOTDATA("ADJBAL",AGTRAXDATA!$F$1,"BRANCH_NUMBER",31,"COMMODITY_CODE","01")/60</f>
        <v>1540996.3666666667</v>
      </c>
      <c r="D11" s="61">
        <f>+GETPIVOTDATA("ADJBAL",AGTRAXDATA!$F$1,"BRANCH_NUMBER",31,"COMMODITY_CODE","02")/56</f>
        <v>164065.875</v>
      </c>
      <c r="E11" s="142">
        <f>+GETPIVOTDATA("ADJBAL",AGTRAXDATA!$F$1,"BRANCH_NUMBER",31,"COMMODITY_CODE","04")/56</f>
        <v>190726.60714285713</v>
      </c>
      <c r="F11" s="61">
        <f>+GETPIVOTDATA("ADJBAL",AGTRAXDATA!$F$1,"BRANCH_NUMBER",31,"COMMODITY_CODE","03")/60</f>
        <v>800845.31666666665</v>
      </c>
      <c r="G11" s="61">
        <f>+GETPIVOTDATA("ADJBAL",AGTRAXDATA!$F$1,"BRANCH_NUMBER",31,"COMMODITY_CODE","22")/25</f>
        <v>0</v>
      </c>
      <c r="H11" s="76">
        <v>0</v>
      </c>
      <c r="I11" s="76"/>
      <c r="J11" s="80">
        <f t="shared" si="0"/>
        <v>2696634.1654761904</v>
      </c>
      <c r="K11" s="66"/>
      <c r="L11" s="61">
        <f>+GETPIVOTDATA("LBS_UPDATED",SALESCONTRACTS!$E$1,"BRANCH_NUMBER",31,"COMMODITY_CODE","01")/60</f>
        <v>0</v>
      </c>
      <c r="M11" s="61">
        <f>+GETPIVOTDATA("LBS_UPDATED",SALESCONTRACTS!$E$1,"BRANCH_NUMBER",31,"COMMODITY_CODE","02")/56</f>
        <v>0</v>
      </c>
      <c r="N11" s="61">
        <f>+GETPIVOTDATA("LBS_UPDATED",SALESCONTRACTS!$E$1,"BRANCH_NUMBER",31,"COMMODITY_CODE","04")/56</f>
        <v>0</v>
      </c>
      <c r="O11" s="61">
        <f>+GETPIVOTDATA("LBS_UPDATED",SALESCONTRACTS!$E$1,"BRANCH_NUMBER",31,"COMMODITY_CODE","03")/60</f>
        <v>0</v>
      </c>
      <c r="P11" s="61">
        <f>+GETPIVOTDATA("LBS_UPDATED",SALESCONTRACTS!$E$1,"BRANCH_NUMBER",31,"COMMODITY_CODE","22")/25</f>
        <v>0</v>
      </c>
      <c r="Q11" s="66">
        <v>0</v>
      </c>
      <c r="R11" s="66">
        <v>0</v>
      </c>
      <c r="S11" s="66">
        <v>0</v>
      </c>
      <c r="T11" s="66">
        <v>0</v>
      </c>
      <c r="U11" s="84">
        <v>0</v>
      </c>
      <c r="V11" s="84">
        <v>0</v>
      </c>
      <c r="W11" s="82"/>
      <c r="X11" s="80">
        <f t="shared" si="1"/>
        <v>2696634.1654761904</v>
      </c>
      <c r="Y11" s="66"/>
      <c r="Z11" s="66">
        <v>2020000</v>
      </c>
      <c r="AA11" s="66">
        <v>1100000</v>
      </c>
      <c r="AB11" s="66">
        <v>0</v>
      </c>
      <c r="AC11" s="122">
        <f t="shared" si="2"/>
        <v>423365.83452380961</v>
      </c>
      <c r="AD11" s="122"/>
      <c r="AE11" s="80">
        <f t="shared" si="3"/>
        <v>423365.83452380961</v>
      </c>
      <c r="AF11" s="66"/>
      <c r="AG11" s="88">
        <v>0</v>
      </c>
      <c r="AH11" s="88">
        <v>0</v>
      </c>
      <c r="AI11" s="91">
        <v>0</v>
      </c>
      <c r="AJ11" s="84">
        <v>0</v>
      </c>
      <c r="AK11" s="82"/>
      <c r="AL11" s="138">
        <v>1800000</v>
      </c>
      <c r="AM11" s="84">
        <v>0</v>
      </c>
      <c r="AN11" s="82"/>
      <c r="AO11" s="80">
        <f t="shared" si="4"/>
        <v>-1376634.1654761904</v>
      </c>
      <c r="AP11" s="63"/>
      <c r="AQ11" s="93">
        <v>0</v>
      </c>
      <c r="AR11" s="93">
        <v>0</v>
      </c>
      <c r="AS11" s="63">
        <v>742000</v>
      </c>
      <c r="AT11" s="180">
        <v>0</v>
      </c>
      <c r="AU11" s="64">
        <v>191000</v>
      </c>
      <c r="AV11" s="180">
        <v>0</v>
      </c>
      <c r="AW11" s="180">
        <v>0</v>
      </c>
      <c r="AX11" s="184">
        <f t="shared" si="8"/>
        <v>933000</v>
      </c>
      <c r="AY11" s="80">
        <f t="shared" si="5"/>
        <v>-443634.16547619039</v>
      </c>
      <c r="AZ11" s="64">
        <v>400000</v>
      </c>
      <c r="BA11" s="181">
        <v>0</v>
      </c>
      <c r="BB11" s="181">
        <v>0</v>
      </c>
      <c r="BC11" s="180">
        <v>0</v>
      </c>
      <c r="BD11" s="94"/>
      <c r="BE11" s="80">
        <f t="shared" si="6"/>
        <v>-43634.165476190392</v>
      </c>
      <c r="BF11" s="115">
        <v>99000</v>
      </c>
      <c r="BG11" s="115">
        <v>0</v>
      </c>
      <c r="BH11" s="7">
        <v>0</v>
      </c>
      <c r="BI11" s="115">
        <v>0</v>
      </c>
      <c r="BJ11" s="115">
        <v>0</v>
      </c>
      <c r="BK11" s="109"/>
      <c r="BL11" s="114">
        <f t="shared" si="7"/>
        <v>55365.834523809608</v>
      </c>
    </row>
    <row r="12" spans="1:64" ht="13.8" thickBot="1" x14ac:dyDescent="0.3">
      <c r="A12" s="63">
        <v>32</v>
      </c>
      <c r="B12" s="75" t="s">
        <v>191</v>
      </c>
      <c r="C12" s="61">
        <f>+GETPIVOTDATA("ADJBAL",AGTRAXDATA!$F$1,"BRANCH_NUMBER",32,"COMMODITY_CODE","01")/60</f>
        <v>0</v>
      </c>
      <c r="D12" s="61">
        <f>+GETPIVOTDATA("ADJBAL",AGTRAXDATA!$F$1,"BRANCH_NUMBER",32,"COMMODITY_CODE","02")/56</f>
        <v>0</v>
      </c>
      <c r="E12" s="142">
        <f>+GETPIVOTDATA("ADJBAL",AGTRAXDATA!$F$1,"BRANCH_NUMBER",32,"COMMODITY_CODE","04")/56</f>
        <v>1035528.5714285715</v>
      </c>
      <c r="F12" s="61">
        <f>+GETPIVOTDATA("ADJBAL",AGTRAXDATA!$F$1,"BRANCH_NUMBER",32,"COMMODITY_CODE","03")/60</f>
        <v>0</v>
      </c>
      <c r="G12" s="61">
        <f>+GETPIVOTDATA("ADJBAL",AGTRAXDATA!$F$1,"BRANCH_NUMBER",31,"COMMODITY_CODE","22")/25</f>
        <v>0</v>
      </c>
      <c r="H12" s="76">
        <v>0</v>
      </c>
      <c r="I12" s="76"/>
      <c r="J12" s="80">
        <f t="shared" si="0"/>
        <v>1035528.5714285715</v>
      </c>
      <c r="K12" s="66"/>
      <c r="L12" s="61">
        <v>0</v>
      </c>
      <c r="M12" s="61">
        <v>0</v>
      </c>
      <c r="N12" s="61">
        <v>0</v>
      </c>
      <c r="O12" s="61">
        <v>0</v>
      </c>
      <c r="P12" s="61">
        <v>0</v>
      </c>
      <c r="Q12" s="66">
        <v>0</v>
      </c>
      <c r="R12" s="66">
        <v>0</v>
      </c>
      <c r="S12" s="66">
        <v>0</v>
      </c>
      <c r="T12" s="66">
        <v>0</v>
      </c>
      <c r="U12" s="84">
        <v>0</v>
      </c>
      <c r="V12" s="84">
        <v>0</v>
      </c>
      <c r="W12" s="82"/>
      <c r="X12" s="80">
        <f t="shared" si="1"/>
        <v>1035528.5714285715</v>
      </c>
      <c r="Y12" s="66"/>
      <c r="Z12" s="66">
        <v>0</v>
      </c>
      <c r="AA12" s="66">
        <v>1045096</v>
      </c>
      <c r="AB12" s="66">
        <v>0</v>
      </c>
      <c r="AC12" s="122">
        <f t="shared" si="2"/>
        <v>9567.4285714285215</v>
      </c>
      <c r="AD12" s="122"/>
      <c r="AE12" s="80">
        <f t="shared" si="3"/>
        <v>9567.4285714285215</v>
      </c>
      <c r="AF12" s="66"/>
      <c r="AG12" s="88">
        <v>0</v>
      </c>
      <c r="AH12" s="88">
        <v>0</v>
      </c>
      <c r="AI12" s="91">
        <v>0</v>
      </c>
      <c r="AJ12" s="84">
        <v>0</v>
      </c>
      <c r="AK12" s="82"/>
      <c r="AL12" s="85">
        <v>0</v>
      </c>
      <c r="AM12" s="84">
        <v>0</v>
      </c>
      <c r="AN12" s="82"/>
      <c r="AO12" s="80">
        <f t="shared" si="4"/>
        <v>9567.4285714285215</v>
      </c>
      <c r="AP12" s="63"/>
      <c r="AQ12" s="93">
        <v>0</v>
      </c>
      <c r="AR12" s="93">
        <v>0</v>
      </c>
      <c r="AS12" s="180">
        <v>0</v>
      </c>
      <c r="AT12" s="180">
        <v>0</v>
      </c>
      <c r="AU12" s="63">
        <v>0</v>
      </c>
      <c r="AV12" s="180">
        <v>0</v>
      </c>
      <c r="AW12" s="180">
        <v>0</v>
      </c>
      <c r="AX12" s="184">
        <f t="shared" si="8"/>
        <v>0</v>
      </c>
      <c r="AY12" s="80">
        <f t="shared" si="5"/>
        <v>9567.4285714285215</v>
      </c>
      <c r="AZ12" s="180">
        <v>0</v>
      </c>
      <c r="BA12" s="181">
        <v>0</v>
      </c>
      <c r="BB12" s="181">
        <v>0</v>
      </c>
      <c r="BC12" s="180">
        <v>0</v>
      </c>
      <c r="BD12" s="94"/>
      <c r="BE12" s="80">
        <f t="shared" si="6"/>
        <v>9567.4285714285215</v>
      </c>
      <c r="BF12" s="115">
        <v>0</v>
      </c>
      <c r="BG12" s="115">
        <v>0</v>
      </c>
      <c r="BH12" s="117">
        <v>1036000</v>
      </c>
      <c r="BI12" s="115">
        <v>0</v>
      </c>
      <c r="BJ12" s="115">
        <v>0</v>
      </c>
      <c r="BK12" s="109"/>
      <c r="BL12" s="114">
        <f t="shared" si="7"/>
        <v>1045567.4285714285</v>
      </c>
    </row>
    <row r="13" spans="1:64" ht="13.8" thickBot="1" x14ac:dyDescent="0.3">
      <c r="A13" s="63">
        <v>71</v>
      </c>
      <c r="B13" s="75" t="s">
        <v>37</v>
      </c>
      <c r="C13" s="61">
        <f>+GETPIVOTDATA("ADJBAL",AGTRAXDATA!$F$1,"BRANCH_NUMBER",71,"COMMODITY_CODE","01")/60</f>
        <v>270736.78333333333</v>
      </c>
      <c r="D13" s="61">
        <f>+GETPIVOTDATA("ADJBAL",AGTRAXDATA!$F$1,"BRANCH_NUMBER",71,"COMMODITY_CODE","02")/56</f>
        <v>22114.892857142859</v>
      </c>
      <c r="E13" s="142">
        <f>+GETPIVOTDATA("ADJBAL",AGTRAXDATA!$F$1,"BRANCH_NUMBER",71,"COMMODITY_CODE","04")/56</f>
        <v>467319.07142857142</v>
      </c>
      <c r="F13" s="61">
        <f>+GETPIVOTDATA("ADJBAL",AGTRAXDATA!$F$1,"BRANCH_NUMBER",71,"COMMODITY_CODE","03")/60</f>
        <v>128754.91666666667</v>
      </c>
      <c r="G13" s="61">
        <f>+GETPIVOTDATA("ADJBAL",AGTRAXDATA!$F$1,"BRANCH_NUMBER",71,"COMMODITY_CODE","22")/25</f>
        <v>0</v>
      </c>
      <c r="H13" s="76">
        <v>0</v>
      </c>
      <c r="I13" s="76"/>
      <c r="J13" s="80">
        <f t="shared" si="0"/>
        <v>888925.66428571416</v>
      </c>
      <c r="K13" s="66"/>
      <c r="L13" s="61">
        <f>+GETPIVOTDATA("LBS_UPDATED",SALESCONTRACTS!$E$1,"BRANCH_NUMBER",71,"COMMODITY_CODE","01")/60</f>
        <v>0</v>
      </c>
      <c r="M13" s="61">
        <f>+GETPIVOTDATA("LBS_UPDATED",SALESCONTRACTS!$E$1,"BRANCH_NUMBER",71,"COMMODITY_CODE","02")/56</f>
        <v>0</v>
      </c>
      <c r="N13" s="61">
        <f>+GETPIVOTDATA("LBS_UPDATED",SALESCONTRACTS!$E$1,"BRANCH_NUMBER",71,"COMMODITY_CODE","04")/56</f>
        <v>29543.214285714286</v>
      </c>
      <c r="O13" s="61">
        <f>+GETPIVOTDATA("LBS_UPDATED",SALESCONTRACTS!$E$1,"BRANCH_NUMBER",71,"COMMODITY_CODE","03")/60</f>
        <v>0</v>
      </c>
      <c r="P13" s="61">
        <f>+GETPIVOTDATA("LBS_UPDATED",SALESCONTRACTS!$E$1,"BRANCH_NUMBER",71,"COMMODITY_CODE","22")/25</f>
        <v>0</v>
      </c>
      <c r="Q13" s="66">
        <v>0</v>
      </c>
      <c r="R13" s="66">
        <v>0</v>
      </c>
      <c r="S13" s="66">
        <v>0</v>
      </c>
      <c r="T13" s="66">
        <v>0</v>
      </c>
      <c r="U13" s="84">
        <v>0</v>
      </c>
      <c r="V13" s="84">
        <v>0</v>
      </c>
      <c r="W13" s="82"/>
      <c r="X13" s="80">
        <f t="shared" si="1"/>
        <v>859382.44999999984</v>
      </c>
      <c r="Y13" s="66"/>
      <c r="Z13" s="66">
        <v>861300</v>
      </c>
      <c r="AA13" s="66">
        <v>192600</v>
      </c>
      <c r="AB13" s="66">
        <v>0</v>
      </c>
      <c r="AC13" s="122">
        <f t="shared" si="2"/>
        <v>164974.33571428584</v>
      </c>
      <c r="AD13" s="122"/>
      <c r="AE13" s="80">
        <f t="shared" si="3"/>
        <v>194517.55000000016</v>
      </c>
      <c r="AF13" s="66"/>
      <c r="AG13" s="88">
        <v>0</v>
      </c>
      <c r="AH13" s="88">
        <v>0</v>
      </c>
      <c r="AI13" s="91">
        <v>0</v>
      </c>
      <c r="AJ13" s="84">
        <v>0</v>
      </c>
      <c r="AK13" s="82"/>
      <c r="AL13" s="138">
        <v>400000</v>
      </c>
      <c r="AM13" s="84">
        <v>0</v>
      </c>
      <c r="AN13" s="82"/>
      <c r="AO13" s="80">
        <f t="shared" si="4"/>
        <v>-205482.44999999984</v>
      </c>
      <c r="AP13" s="63"/>
      <c r="AQ13" s="93">
        <v>0</v>
      </c>
      <c r="AR13" s="93">
        <v>0</v>
      </c>
      <c r="AS13" s="180">
        <v>0</v>
      </c>
      <c r="AT13" s="180">
        <v>0</v>
      </c>
      <c r="AU13" s="64">
        <v>195000</v>
      </c>
      <c r="AV13" s="180">
        <v>0</v>
      </c>
      <c r="AW13" s="180">
        <v>0</v>
      </c>
      <c r="AX13" s="184">
        <f t="shared" si="8"/>
        <v>195000</v>
      </c>
      <c r="AY13" s="80">
        <f t="shared" si="5"/>
        <v>-10482.449999999837</v>
      </c>
      <c r="AZ13" s="180">
        <v>0</v>
      </c>
      <c r="BA13" s="181">
        <v>0</v>
      </c>
      <c r="BB13" s="181">
        <v>0</v>
      </c>
      <c r="BC13" s="180">
        <v>0</v>
      </c>
      <c r="BD13" s="94"/>
      <c r="BE13" s="80">
        <f t="shared" si="6"/>
        <v>-10482.449999999837</v>
      </c>
      <c r="BF13" s="115">
        <v>0</v>
      </c>
      <c r="BG13" s="116">
        <v>22000</v>
      </c>
      <c r="BH13" s="7">
        <v>0</v>
      </c>
      <c r="BI13" s="115">
        <v>0</v>
      </c>
      <c r="BJ13" s="115">
        <v>0</v>
      </c>
      <c r="BK13" s="107"/>
      <c r="BL13" s="114">
        <f t="shared" si="7"/>
        <v>11517.550000000163</v>
      </c>
    </row>
    <row r="14" spans="1:64" ht="13.8" thickBot="1" x14ac:dyDescent="0.3">
      <c r="A14" s="63">
        <v>183</v>
      </c>
      <c r="B14" s="75" t="s">
        <v>38</v>
      </c>
      <c r="C14" s="61">
        <f>+GETPIVOTDATA("ADJBAL",AGTRAXDATA!$F$1,"BRANCH_NUMBER",183,"COMMODITY_CODE","01")/60</f>
        <v>54742.05</v>
      </c>
      <c r="D14" s="61">
        <f>+GETPIVOTDATA("ADJBAL",AGTRAXDATA!$F$1,"BRANCH_NUMBER",183,"COMMODITY_CODE","02")/56</f>
        <v>9747.5178571428569</v>
      </c>
      <c r="E14" s="61">
        <f>+GETPIVOTDATA("ADJBAL",AGTRAXDATA!$F$1,"BRANCH_NUMBER",183,"COMMODITY_CODE","04")/56</f>
        <v>71262.303571428565</v>
      </c>
      <c r="F14" s="61">
        <f>+GETPIVOTDATA("ADJBAL",AGTRAXDATA!$F$1,"BRANCH_NUMBER",183,"COMMODITY_CODE","03")/60</f>
        <v>0</v>
      </c>
      <c r="G14" s="61">
        <f>+GETPIVOTDATA("ADJBAL",AGTRAXDATA!$F$1,"BRANCH_NUMBER",183,"COMMODITY_CODE","22")/25</f>
        <v>0</v>
      </c>
      <c r="H14" s="76">
        <v>0</v>
      </c>
      <c r="I14" s="76"/>
      <c r="J14" s="80">
        <f t="shared" si="0"/>
        <v>135751.87142857141</v>
      </c>
      <c r="K14" s="66"/>
      <c r="L14" s="61">
        <f>+GETPIVOTDATA("LBS_UPDATED",SALESCONTRACTS!$E$1,"BRANCH_NUMBER",183,"COMMODITY_CODE","01")/60</f>
        <v>0</v>
      </c>
      <c r="M14" s="61">
        <f>+GETPIVOTDATA("LBS_UPDATED",SALESCONTRACTS!$E$1,"BRANCH_NUMBER",183,"COMMODITY_CODE","02")/56</f>
        <v>0</v>
      </c>
      <c r="N14" s="61">
        <f>+GETPIVOTDATA("LBS_UPDATED",SALESCONTRACTS!$E$1,"BRANCH_NUMBER",183,"COMMODITY_CODE","04")/56</f>
        <v>0</v>
      </c>
      <c r="O14" s="61">
        <f>+GETPIVOTDATA("LBS_UPDATED",SALESCONTRACTS!$E$1,"BRANCH_NUMBER",183,"COMMODITY_CODE","03")/60</f>
        <v>0</v>
      </c>
      <c r="P14" s="61">
        <f>+GETPIVOTDATA("LBS_UPDATED",SALESCONTRACTS!$E$1,"BRANCH_NUMBER",183,"COMMODITY_CODE","22")/25</f>
        <v>0</v>
      </c>
      <c r="Q14" s="66">
        <v>0</v>
      </c>
      <c r="R14" s="66">
        <v>0</v>
      </c>
      <c r="S14" s="66">
        <v>0</v>
      </c>
      <c r="T14" s="66">
        <v>0</v>
      </c>
      <c r="U14" s="84">
        <v>0</v>
      </c>
      <c r="V14" s="84">
        <v>0</v>
      </c>
      <c r="W14" s="82"/>
      <c r="X14" s="80">
        <f t="shared" si="1"/>
        <v>135751.87142857141</v>
      </c>
      <c r="Y14" s="66"/>
      <c r="Z14" s="66">
        <v>352000</v>
      </c>
      <c r="AA14" s="66">
        <v>0</v>
      </c>
      <c r="AB14" s="66">
        <v>0</v>
      </c>
      <c r="AC14" s="122">
        <f t="shared" si="2"/>
        <v>216248.12857142859</v>
      </c>
      <c r="AD14" s="122"/>
      <c r="AE14" s="80">
        <f t="shared" si="3"/>
        <v>216248.12857142859</v>
      </c>
      <c r="AF14" s="66"/>
      <c r="AG14" s="88">
        <v>0</v>
      </c>
      <c r="AH14" s="88">
        <v>0</v>
      </c>
      <c r="AI14" s="91">
        <v>0</v>
      </c>
      <c r="AJ14" s="84">
        <v>0</v>
      </c>
      <c r="AK14" s="82"/>
      <c r="AL14" s="138">
        <v>325000</v>
      </c>
      <c r="AM14" s="84">
        <v>0</v>
      </c>
      <c r="AN14" s="82"/>
      <c r="AO14" s="80">
        <f t="shared" si="4"/>
        <v>-108751.87142857141</v>
      </c>
      <c r="AP14" s="63"/>
      <c r="AQ14" s="93">
        <v>0</v>
      </c>
      <c r="AR14" s="93">
        <v>0</v>
      </c>
      <c r="AS14" s="64">
        <v>45000</v>
      </c>
      <c r="AT14" s="180">
        <v>0</v>
      </c>
      <c r="AU14" s="64">
        <v>71000</v>
      </c>
      <c r="AV14" s="180">
        <v>0</v>
      </c>
      <c r="AW14" s="180">
        <v>0</v>
      </c>
      <c r="AX14" s="184">
        <f t="shared" si="8"/>
        <v>116000</v>
      </c>
      <c r="AY14" s="80">
        <f t="shared" si="5"/>
        <v>7248.1285714285914</v>
      </c>
      <c r="AZ14" s="180">
        <v>0</v>
      </c>
      <c r="BA14" s="181">
        <v>0</v>
      </c>
      <c r="BB14" s="181">
        <v>0</v>
      </c>
      <c r="BC14" s="180">
        <v>0</v>
      </c>
      <c r="BD14" s="94"/>
      <c r="BE14" s="80">
        <f t="shared" si="6"/>
        <v>7248.1285714285914</v>
      </c>
      <c r="BF14" s="115">
        <v>0</v>
      </c>
      <c r="BG14" s="115">
        <v>0</v>
      </c>
      <c r="BH14" s="7">
        <v>0</v>
      </c>
      <c r="BI14" s="115">
        <v>0</v>
      </c>
      <c r="BJ14" s="115">
        <v>0</v>
      </c>
      <c r="BK14" s="107"/>
      <c r="BL14" s="114">
        <f t="shared" si="7"/>
        <v>7248.1285714285914</v>
      </c>
    </row>
    <row r="15" spans="1:64" ht="13.8" thickBot="1" x14ac:dyDescent="0.3">
      <c r="A15" s="63">
        <v>61</v>
      </c>
      <c r="B15" s="75" t="s">
        <v>39</v>
      </c>
      <c r="C15" s="61">
        <f>+GETPIVOTDATA("ADJBAL",AGTRAXDATA!$F$1,"BRANCH_NUMBER",61,"COMMODITY_CODE","01")/60</f>
        <v>29206.316666666666</v>
      </c>
      <c r="D15" s="61">
        <f>+GETPIVOTDATA("ADJBAL",AGTRAXDATA!$F$1,"BRANCH_NUMBER",61,"COMMODITY_CODE","02")/56</f>
        <v>0</v>
      </c>
      <c r="E15" s="142">
        <f>+GETPIVOTDATA("ADJBAL",AGTRAXDATA!$F$1,"BRANCH_NUMBER",61,"COMMODITY_CODE","04")/56</f>
        <v>26262.107142857141</v>
      </c>
      <c r="F15" s="61">
        <f>+GETPIVOTDATA("ADJBAL",AGTRAXDATA!$F$1,"BRANCH_NUMBER",61,"COMMODITY_CODE","03")/60</f>
        <v>430342.35</v>
      </c>
      <c r="G15" s="61">
        <f>+GETPIVOTDATA("ADJBAL",AGTRAXDATA!$F$1,"BRANCH_NUMBER",61,"COMMODITY_CODE","22")/25</f>
        <v>-425.68</v>
      </c>
      <c r="H15" s="76">
        <v>0</v>
      </c>
      <c r="I15" s="76"/>
      <c r="J15" s="80">
        <f t="shared" si="0"/>
        <v>485385.09380952379</v>
      </c>
      <c r="K15" s="66"/>
      <c r="L15" s="61">
        <f>+GETPIVOTDATA("LBS_UPDATED",SALESCONTRACTS!$E$1,"BRANCH_NUMBER",61,"COMMODITY_CODE","01")/60</f>
        <v>0</v>
      </c>
      <c r="M15" s="61">
        <f>+GETPIVOTDATA("LBS_UPDATED",SALESCONTRACTS!$E$1,"BRANCH_NUMBER",61,"COMMODITY_CODE","02")/56</f>
        <v>0</v>
      </c>
      <c r="N15" s="61">
        <f>+GETPIVOTDATA("LBS_UPDATED",SALESCONTRACTS!$E$1,"BRANCH_NUMBER",61,"COMMODITY_CODE","04")/56</f>
        <v>-811.26785714285711</v>
      </c>
      <c r="O15" s="61">
        <f>+GETPIVOTDATA("LBS_UPDATED",SALESCONTRACTS!$E$1,"BRANCH_NUMBER",61,"COMMODITY_CODE","03")/60</f>
        <v>0</v>
      </c>
      <c r="P15" s="61">
        <f>+GETPIVOTDATA("LBS_UPDATED",SALESCONTRACTS!$E$1,"BRANCH_NUMBER",61,"COMMODITY_CODE","22")/25</f>
        <v>2743.28</v>
      </c>
      <c r="Q15" s="66">
        <v>0</v>
      </c>
      <c r="R15" s="66">
        <v>0</v>
      </c>
      <c r="S15" s="66">
        <v>0</v>
      </c>
      <c r="T15" s="66">
        <v>0</v>
      </c>
      <c r="U15" s="84">
        <v>0</v>
      </c>
      <c r="V15" s="84">
        <v>0</v>
      </c>
      <c r="W15" s="82"/>
      <c r="X15" s="80">
        <f t="shared" si="1"/>
        <v>483453.08166666661</v>
      </c>
      <c r="Y15" s="66"/>
      <c r="Z15" s="66">
        <v>1218300</v>
      </c>
      <c r="AA15" s="66">
        <v>0</v>
      </c>
      <c r="AB15" s="66">
        <v>0</v>
      </c>
      <c r="AC15" s="122">
        <f t="shared" si="2"/>
        <v>732914.90619047615</v>
      </c>
      <c r="AD15" s="122"/>
      <c r="AE15" s="80">
        <f t="shared" si="3"/>
        <v>734846.91833333345</v>
      </c>
      <c r="AF15" s="66"/>
      <c r="AG15" s="88">
        <v>0</v>
      </c>
      <c r="AH15" s="88">
        <v>0</v>
      </c>
      <c r="AI15" s="91">
        <v>0</v>
      </c>
      <c r="AJ15" s="84">
        <v>0</v>
      </c>
      <c r="AK15" s="82"/>
      <c r="AL15" s="138">
        <v>610000</v>
      </c>
      <c r="AM15" s="84">
        <v>0</v>
      </c>
      <c r="AN15" s="82"/>
      <c r="AO15" s="80">
        <f t="shared" si="4"/>
        <v>124846.91833333345</v>
      </c>
      <c r="AP15" s="63"/>
      <c r="AQ15" s="93">
        <v>0</v>
      </c>
      <c r="AR15" s="93">
        <v>0</v>
      </c>
      <c r="AS15" s="180">
        <v>0</v>
      </c>
      <c r="AT15" s="180">
        <v>0</v>
      </c>
      <c r="AU15" s="180">
        <v>0</v>
      </c>
      <c r="AV15" s="180">
        <v>0</v>
      </c>
      <c r="AW15" s="180">
        <v>0</v>
      </c>
      <c r="AX15" s="184">
        <f t="shared" si="8"/>
        <v>0</v>
      </c>
      <c r="AY15" s="80">
        <f t="shared" si="5"/>
        <v>124846.91833333345</v>
      </c>
      <c r="AZ15" s="180">
        <v>0</v>
      </c>
      <c r="BA15" s="181">
        <v>0</v>
      </c>
      <c r="BB15" s="181">
        <v>0</v>
      </c>
      <c r="BC15" s="180">
        <v>0</v>
      </c>
      <c r="BD15" s="94"/>
      <c r="BE15" s="80">
        <f t="shared" si="6"/>
        <v>124846.91833333345</v>
      </c>
      <c r="BF15" s="115">
        <v>0</v>
      </c>
      <c r="BG15" s="115">
        <v>0</v>
      </c>
      <c r="BH15" s="7">
        <v>0</v>
      </c>
      <c r="BI15" s="115">
        <v>0</v>
      </c>
      <c r="BJ15" s="115">
        <v>0</v>
      </c>
      <c r="BK15" s="107"/>
      <c r="BL15" s="114">
        <f t="shared" si="7"/>
        <v>124846.91833333345</v>
      </c>
    </row>
    <row r="16" spans="1:64" ht="13.8" thickBot="1" x14ac:dyDescent="0.3">
      <c r="A16" s="63">
        <v>11</v>
      </c>
      <c r="B16" s="75" t="s">
        <v>40</v>
      </c>
      <c r="C16" s="61">
        <f>+GETPIVOTDATA("ADJBAL",AGTRAXDATA!$F$1,"BRANCH_NUMBER",11,"COMMODITY_CODE","01")/60</f>
        <v>129784.43333333333</v>
      </c>
      <c r="D16" s="61">
        <f>+GETPIVOTDATA("ADJBAL",AGTRAXDATA!$F$1,"BRANCH_NUMBER",11,"COMMODITY_CODE","02")/56</f>
        <v>12635.857142857143</v>
      </c>
      <c r="E16" s="61">
        <f>+GETPIVOTDATA("ADJBAL",AGTRAXDATA!$F$1,"BRANCH_NUMBER",11,"COMMODITY_CODE","04")/56</f>
        <v>268931.07142857142</v>
      </c>
      <c r="F16" s="61">
        <f>+GETPIVOTDATA("ADJBAL",AGTRAXDATA!$F$1,"BRANCH_NUMBER",11,"COMMODITY_CODE","03")/60</f>
        <v>260037.56666666668</v>
      </c>
      <c r="G16" s="61">
        <f>+GETPIVOTDATA("ADJBAL",AGTRAXDATA!$F$1,"BRANCH_NUMBER",11,"COMMODITY_CODE","22")/25</f>
        <v>0</v>
      </c>
      <c r="H16" s="76">
        <v>0</v>
      </c>
      <c r="I16" s="76"/>
      <c r="J16" s="80">
        <f t="shared" si="0"/>
        <v>671388.92857142852</v>
      </c>
      <c r="K16" s="66"/>
      <c r="L16" s="61">
        <f>+GETPIVOTDATA("LBS_UPDATED",SALESCONTRACTS!$E$1,"BRANCH_NUMBER",11,"COMMODITY_CODE","01")/60</f>
        <v>164272.85</v>
      </c>
      <c r="M16" s="61">
        <f>+GETPIVOTDATA("LBS_UPDATED",SALESCONTRACTS!$E$1,"BRANCH_NUMBER",11,"COMMODITY_CODE","02")/56</f>
        <v>0</v>
      </c>
      <c r="N16" s="61">
        <f>+GETPIVOTDATA("LBS_UPDATED",SALESCONTRACTS!$E$1,"BRANCH_NUMBER",11,"COMMODITY_CODE","04")/56</f>
        <v>6648.5714285714284</v>
      </c>
      <c r="O16" s="61">
        <f>+GETPIVOTDATA("LBS_UPDATED",SALESCONTRACTS!$E$1,"BRANCH_NUMBER",11,"COMMODITY_CODE","03")/60</f>
        <v>0</v>
      </c>
      <c r="P16" s="61">
        <f>+GETPIVOTDATA("LBS_UPDATED",SALESCONTRACTS!$E$1,"BRANCH_NUMBER",11,"COMMODITY_CODE","22")/25</f>
        <v>0</v>
      </c>
      <c r="Q16" s="66">
        <v>0</v>
      </c>
      <c r="R16" s="66">
        <v>0</v>
      </c>
      <c r="S16" s="66">
        <v>0</v>
      </c>
      <c r="T16" s="66">
        <v>0</v>
      </c>
      <c r="U16" s="85">
        <v>13000</v>
      </c>
      <c r="V16" s="85">
        <v>273000</v>
      </c>
      <c r="W16" s="82"/>
      <c r="X16" s="80">
        <f t="shared" si="1"/>
        <v>214467.50714285712</v>
      </c>
      <c r="Y16" s="66"/>
      <c r="Z16" s="66">
        <v>1266000</v>
      </c>
      <c r="AA16" s="66">
        <v>0</v>
      </c>
      <c r="AB16" s="66">
        <v>0</v>
      </c>
      <c r="AC16" s="122">
        <f t="shared" si="2"/>
        <v>594611.07142857148</v>
      </c>
      <c r="AD16" s="122"/>
      <c r="AE16" s="80">
        <f t="shared" si="3"/>
        <v>1051532.4928571428</v>
      </c>
      <c r="AF16" s="66"/>
      <c r="AG16" s="88">
        <v>0</v>
      </c>
      <c r="AH16" s="88">
        <v>0</v>
      </c>
      <c r="AI16" s="91">
        <v>0</v>
      </c>
      <c r="AJ16" s="84">
        <v>0</v>
      </c>
      <c r="AK16" s="82"/>
      <c r="AL16" s="138">
        <v>1150000</v>
      </c>
      <c r="AM16" s="84">
        <v>0</v>
      </c>
      <c r="AN16" s="82"/>
      <c r="AO16" s="80">
        <f t="shared" si="4"/>
        <v>-98467.507142857183</v>
      </c>
      <c r="AP16" s="63"/>
      <c r="AQ16" s="93">
        <v>0</v>
      </c>
      <c r="AR16" s="93">
        <v>0</v>
      </c>
      <c r="AS16" s="180">
        <v>0</v>
      </c>
      <c r="AT16" s="180">
        <v>0</v>
      </c>
      <c r="AU16" s="180">
        <v>0</v>
      </c>
      <c r="AV16" s="180">
        <v>0</v>
      </c>
      <c r="AW16" s="180">
        <v>0</v>
      </c>
      <c r="AX16" s="184">
        <f t="shared" si="8"/>
        <v>0</v>
      </c>
      <c r="AY16" s="80">
        <f t="shared" si="5"/>
        <v>-98467.507142857183</v>
      </c>
      <c r="AZ16" s="180">
        <v>0</v>
      </c>
      <c r="BA16" s="181">
        <v>0</v>
      </c>
      <c r="BB16" s="181">
        <v>0</v>
      </c>
      <c r="BC16" s="180">
        <v>0</v>
      </c>
      <c r="BD16" s="94"/>
      <c r="BE16" s="80">
        <f t="shared" si="6"/>
        <v>-98467.507142857183</v>
      </c>
      <c r="BF16" s="115">
        <v>0</v>
      </c>
      <c r="BG16" s="115">
        <v>0</v>
      </c>
      <c r="BH16" s="7">
        <v>0</v>
      </c>
      <c r="BI16" s="64">
        <v>140000</v>
      </c>
      <c r="BJ16" s="115">
        <v>0</v>
      </c>
      <c r="BK16" s="107"/>
      <c r="BL16" s="114">
        <f t="shared" si="7"/>
        <v>41532.492857142817</v>
      </c>
    </row>
    <row r="17" spans="1:64" ht="13.8" thickBot="1" x14ac:dyDescent="0.3">
      <c r="A17" s="63">
        <v>182</v>
      </c>
      <c r="B17" s="75" t="s">
        <v>41</v>
      </c>
      <c r="C17" s="61">
        <f>+GETPIVOTDATA("ADJBAL",AGTRAXDATA!$F$1,"BRANCH_NUMBER",182,"COMMODITY_CODE","01")/60</f>
        <v>331801.66666666669</v>
      </c>
      <c r="D17" s="61">
        <f>+GETPIVOTDATA("ADJBAL",AGTRAXDATA!$F$1,"BRANCH_NUMBER",182,"COMMODITY_CODE","02")/56</f>
        <v>0</v>
      </c>
      <c r="E17" s="61">
        <f>+GETPIVOTDATA("ADJBAL",AGTRAXDATA!$F$1,"BRANCH_NUMBER",182,"COMMODITY_CODE","04")/56</f>
        <v>0</v>
      </c>
      <c r="F17" s="61">
        <f>+GETPIVOTDATA("ADJBAL",AGTRAXDATA!$F$1,"BRANCH_NUMBER",182,"COMMODITY_CODE","03")/60</f>
        <v>0</v>
      </c>
      <c r="G17" s="61">
        <f>+GETPIVOTDATA("ADJBAL",AGTRAXDATA!$F$1,"BRANCH_NUMBER",182,"COMMODITY_CODE","22")/25</f>
        <v>0</v>
      </c>
      <c r="H17" s="76">
        <v>0</v>
      </c>
      <c r="I17" s="76"/>
      <c r="J17" s="80">
        <f t="shared" si="0"/>
        <v>331801.66666666669</v>
      </c>
      <c r="K17" s="66"/>
      <c r="L17" s="61">
        <f>+GETPIVOTDATA("LBS_UPDATED",SALESCONTRACTS!$E$1,"BRANCH_NUMBER",182,"COMMODITY_CODE","01")/60</f>
        <v>0</v>
      </c>
      <c r="M17" s="61">
        <f>+GETPIVOTDATA("LBS_UPDATED",SALESCONTRACTS!$E$1,"BRANCH_NUMBER",182,"COMMODITY_CODE","02")/56</f>
        <v>0</v>
      </c>
      <c r="N17" s="61">
        <f>+GETPIVOTDATA("LBS_UPDATED",SALESCONTRACTS!$E$1,"BRANCH_NUMBER",182,"COMMODITY_CODE","04")/56</f>
        <v>0</v>
      </c>
      <c r="O17" s="61">
        <f>+GETPIVOTDATA("LBS_UPDATED",SALESCONTRACTS!$E$1,"BRANCH_NUMBER",182,"COMMODITY_CODE","03")/60</f>
        <v>0</v>
      </c>
      <c r="P17" s="61">
        <f>+GETPIVOTDATA("LBS_UPDATED",SALESCONTRACTS!$E$1,"BRANCH_NUMBER",182,"COMMODITY_CODE","22")/25</f>
        <v>0</v>
      </c>
      <c r="Q17" s="66">
        <v>0</v>
      </c>
      <c r="R17" s="66">
        <v>0</v>
      </c>
      <c r="S17" s="66">
        <v>0</v>
      </c>
      <c r="T17" s="66">
        <v>0</v>
      </c>
      <c r="U17" s="85">
        <v>0</v>
      </c>
      <c r="V17" s="85">
        <v>0</v>
      </c>
      <c r="W17" s="82"/>
      <c r="X17" s="80">
        <f t="shared" si="1"/>
        <v>331801.66666666669</v>
      </c>
      <c r="Y17" s="66"/>
      <c r="Z17" s="66">
        <v>354600</v>
      </c>
      <c r="AA17" s="66">
        <v>0</v>
      </c>
      <c r="AB17" s="66">
        <v>0</v>
      </c>
      <c r="AC17" s="122">
        <f t="shared" si="2"/>
        <v>22798.333333333314</v>
      </c>
      <c r="AD17" s="122"/>
      <c r="AE17" s="80">
        <f t="shared" si="3"/>
        <v>22798.333333333314</v>
      </c>
      <c r="AF17" s="66"/>
      <c r="AG17" s="88">
        <v>0</v>
      </c>
      <c r="AH17" s="88">
        <v>0</v>
      </c>
      <c r="AI17" s="91">
        <v>0</v>
      </c>
      <c r="AJ17" s="84">
        <v>0</v>
      </c>
      <c r="AK17" s="82"/>
      <c r="AL17" s="85">
        <v>0</v>
      </c>
      <c r="AM17" s="84">
        <v>0</v>
      </c>
      <c r="AN17" s="82"/>
      <c r="AO17" s="80">
        <f t="shared" si="4"/>
        <v>22798.333333333314</v>
      </c>
      <c r="AP17" s="63"/>
      <c r="AQ17" s="93">
        <v>0</v>
      </c>
      <c r="AR17" s="93">
        <v>0</v>
      </c>
      <c r="AS17" s="180">
        <v>0</v>
      </c>
      <c r="AT17" s="180">
        <v>0</v>
      </c>
      <c r="AU17" s="180">
        <v>0</v>
      </c>
      <c r="AV17" s="180">
        <v>0</v>
      </c>
      <c r="AW17" s="180">
        <v>0</v>
      </c>
      <c r="AX17" s="184">
        <f t="shared" si="8"/>
        <v>0</v>
      </c>
      <c r="AY17" s="80">
        <f t="shared" si="5"/>
        <v>22798.333333333314</v>
      </c>
      <c r="AZ17" s="180">
        <v>0</v>
      </c>
      <c r="BA17" s="181">
        <v>0</v>
      </c>
      <c r="BB17" s="181">
        <v>0</v>
      </c>
      <c r="BC17" s="180">
        <v>0</v>
      </c>
      <c r="BD17" s="94"/>
      <c r="BE17" s="80">
        <f t="shared" si="6"/>
        <v>22798.333333333314</v>
      </c>
      <c r="BF17" s="115">
        <v>0</v>
      </c>
      <c r="BG17" s="115">
        <v>0</v>
      </c>
      <c r="BH17" s="7">
        <v>0</v>
      </c>
      <c r="BI17" s="115">
        <v>0</v>
      </c>
      <c r="BJ17" s="115">
        <v>0</v>
      </c>
      <c r="BK17" s="107"/>
      <c r="BL17" s="114">
        <f t="shared" si="7"/>
        <v>22798.333333333314</v>
      </c>
    </row>
    <row r="18" spans="1:64" ht="13.8" thickBot="1" x14ac:dyDescent="0.3">
      <c r="A18" s="63">
        <v>181</v>
      </c>
      <c r="B18" s="75" t="s">
        <v>42</v>
      </c>
      <c r="C18" s="61">
        <f>+GETPIVOTDATA("ADJBAL",AGTRAXDATA!$F$1,"BRANCH_NUMBER",181,"COMMODITY_CODE","01")/60</f>
        <v>200338.9</v>
      </c>
      <c r="D18" s="61">
        <f>+GETPIVOTDATA("ADJBAL",AGTRAXDATA!$F$1,"BRANCH_NUMBER",181,"COMMODITY_CODE","02")/56</f>
        <v>0</v>
      </c>
      <c r="E18" s="61">
        <f>+GETPIVOTDATA("ADJBAL",AGTRAXDATA!$F$1,"BRANCH_NUMBER",181,"COMMODITY_CODE","04")/56</f>
        <v>0</v>
      </c>
      <c r="F18" s="61">
        <f>+GETPIVOTDATA("ADJBAL",AGTRAXDATA!$F$1,"BRANCH_NUMBER",181,"COMMODITY_CODE","03")/60</f>
        <v>0</v>
      </c>
      <c r="G18" s="61">
        <f>+GETPIVOTDATA("ADJBAL",AGTRAXDATA!$F$1,"BRANCH_NUMBER",181,"COMMODITY_CODE","22")/25</f>
        <v>0</v>
      </c>
      <c r="H18" s="76">
        <v>0</v>
      </c>
      <c r="I18" s="76"/>
      <c r="J18" s="80">
        <f t="shared" si="0"/>
        <v>200338.9</v>
      </c>
      <c r="K18" s="66"/>
      <c r="L18" s="61">
        <f>+GETPIVOTDATA("LBS_UPDATED",SALESCONTRACTS!$E$1,"BRANCH_NUMBER",181,"COMMODITY_CODE","01")/60</f>
        <v>0</v>
      </c>
      <c r="M18" s="61">
        <f>+GETPIVOTDATA("LBS_UPDATED",SALESCONTRACTS!$E$1,"BRANCH_NUMBER",181,"COMMODITY_CODE","02")/56</f>
        <v>0</v>
      </c>
      <c r="N18" s="61">
        <f>+GETPIVOTDATA("LBS_UPDATED",SALESCONTRACTS!$E$1,"BRANCH_NUMBER",181,"COMMODITY_CODE","04")/56</f>
        <v>0</v>
      </c>
      <c r="O18" s="61">
        <f>+GETPIVOTDATA("LBS_UPDATED",SALESCONTRACTS!$E$1,"BRANCH_NUMBER",181,"COMMODITY_CODE","03")/60</f>
        <v>0</v>
      </c>
      <c r="P18" s="61">
        <f>+GETPIVOTDATA("LBS_UPDATED",SALESCONTRACTS!$E$1,"BRANCH_NUMBER",181,"COMMODITY_CODE","22")/25</f>
        <v>0</v>
      </c>
      <c r="Q18" s="66">
        <v>0</v>
      </c>
      <c r="R18" s="66">
        <v>0</v>
      </c>
      <c r="S18" s="66">
        <v>0</v>
      </c>
      <c r="T18" s="66">
        <v>0</v>
      </c>
      <c r="U18" s="85">
        <v>0</v>
      </c>
      <c r="V18" s="85">
        <v>0</v>
      </c>
      <c r="W18" s="82"/>
      <c r="X18" s="80">
        <f t="shared" si="1"/>
        <v>200338.9</v>
      </c>
      <c r="Y18" s="66"/>
      <c r="Z18" s="66">
        <v>235800</v>
      </c>
      <c r="AA18" s="66">
        <v>0</v>
      </c>
      <c r="AB18" s="66">
        <v>0</v>
      </c>
      <c r="AC18" s="122">
        <f t="shared" si="2"/>
        <v>35461.100000000006</v>
      </c>
      <c r="AD18" s="122"/>
      <c r="AE18" s="80">
        <f t="shared" si="3"/>
        <v>35461.100000000006</v>
      </c>
      <c r="AF18" s="66"/>
      <c r="AG18" s="88">
        <v>0</v>
      </c>
      <c r="AH18" s="88">
        <v>0</v>
      </c>
      <c r="AI18" s="91">
        <v>0</v>
      </c>
      <c r="AJ18" s="84">
        <v>0</v>
      </c>
      <c r="AK18" s="82"/>
      <c r="AL18" s="85">
        <v>0</v>
      </c>
      <c r="AM18" s="84">
        <v>0</v>
      </c>
      <c r="AN18" s="82"/>
      <c r="AO18" s="80">
        <f t="shared" si="4"/>
        <v>35461.100000000006</v>
      </c>
      <c r="AP18" s="63"/>
      <c r="AQ18" s="93">
        <v>0</v>
      </c>
      <c r="AR18" s="93">
        <v>0</v>
      </c>
      <c r="AS18" s="180">
        <v>0</v>
      </c>
      <c r="AT18" s="180">
        <v>0</v>
      </c>
      <c r="AU18" s="180">
        <v>0</v>
      </c>
      <c r="AV18" s="180">
        <v>0</v>
      </c>
      <c r="AW18" s="180">
        <v>0</v>
      </c>
      <c r="AX18" s="184">
        <f t="shared" si="8"/>
        <v>0</v>
      </c>
      <c r="AY18" s="80">
        <f t="shared" si="5"/>
        <v>35461.100000000006</v>
      </c>
      <c r="AZ18" s="180">
        <v>0</v>
      </c>
      <c r="BA18" s="181">
        <v>0</v>
      </c>
      <c r="BB18" s="181">
        <v>0</v>
      </c>
      <c r="BC18" s="180">
        <v>0</v>
      </c>
      <c r="BD18" s="94"/>
      <c r="BE18" s="80">
        <f t="shared" si="6"/>
        <v>35461.100000000006</v>
      </c>
      <c r="BF18" s="115">
        <v>0</v>
      </c>
      <c r="BG18" s="115">
        <v>0</v>
      </c>
      <c r="BH18" s="7">
        <v>0</v>
      </c>
      <c r="BI18" s="115">
        <v>0</v>
      </c>
      <c r="BJ18" s="115">
        <v>0</v>
      </c>
      <c r="BK18" s="107"/>
      <c r="BL18" s="114">
        <f t="shared" si="7"/>
        <v>35461.100000000006</v>
      </c>
    </row>
    <row r="19" spans="1:64" ht="13.8" thickBot="1" x14ac:dyDescent="0.3">
      <c r="A19" s="63">
        <v>161</v>
      </c>
      <c r="B19" s="75" t="s">
        <v>43</v>
      </c>
      <c r="C19" s="61">
        <f>+GETPIVOTDATA("ADJBAL",AGTRAXDATA!$F$1,"BRANCH_NUMBER",161,"COMMODITY_CODE","01")/60</f>
        <v>355983.26666666666</v>
      </c>
      <c r="D19" s="61">
        <f>+GETPIVOTDATA("ADJBAL",AGTRAXDATA!$F$1,"BRANCH_NUMBER",161,"COMMODITY_CODE","02")/56</f>
        <v>0</v>
      </c>
      <c r="E19" s="61">
        <f>+GETPIVOTDATA("ADJBAL",AGTRAXDATA!$F$1,"BRANCH_NUMBER",161,"COMMODITY_CODE","04")/56</f>
        <v>0</v>
      </c>
      <c r="F19" s="61">
        <f>+GETPIVOTDATA("ADJBAL",AGTRAXDATA!$F$1,"BRANCH_NUMBER",161,"COMMODITY_CODE","03")/60</f>
        <v>0</v>
      </c>
      <c r="G19" s="61">
        <f>+GETPIVOTDATA("ADJBAL",AGTRAXDATA!$F$1,"BRANCH_NUMBER",161,"COMMODITY_CODE","22")/25</f>
        <v>0</v>
      </c>
      <c r="H19" s="76">
        <v>0</v>
      </c>
      <c r="I19" s="76"/>
      <c r="J19" s="80">
        <f t="shared" si="0"/>
        <v>355983.26666666666</v>
      </c>
      <c r="K19" s="66"/>
      <c r="L19" s="61">
        <f>+GETPIVOTDATA("LBS_UPDATED",SALESCONTRACTS!$E$1,"BRANCH_NUMBER",161,"COMMODITY_CODE","01")/60</f>
        <v>0</v>
      </c>
      <c r="M19" s="61">
        <f>+GETPIVOTDATA("LBS_UPDATED",SALESCONTRACTS!$E$1,"BRANCH_NUMBER",161,"COMMODITY_CODE","02")/56</f>
        <v>0</v>
      </c>
      <c r="N19" s="61">
        <f>+GETPIVOTDATA("LBS_UPDATED",SALESCONTRACTS!$E$1,"BRANCH_NUMBER",161,"COMMODITY_CODE","04")/56</f>
        <v>0</v>
      </c>
      <c r="O19" s="61">
        <f>+GETPIVOTDATA("LBS_UPDATED",SALESCONTRACTS!$E$1,"BRANCH_NUMBER",161,"COMMODITY_CODE","03")/60</f>
        <v>0</v>
      </c>
      <c r="P19" s="61">
        <f>+GETPIVOTDATA("LBS_UPDATED",SALESCONTRACTS!$E$1,"BRANCH_NUMBER",161,"COMMODITY_CODE","22")/25</f>
        <v>0</v>
      </c>
      <c r="Q19" s="66">
        <v>0</v>
      </c>
      <c r="R19" s="66">
        <v>0</v>
      </c>
      <c r="S19" s="66">
        <v>0</v>
      </c>
      <c r="T19" s="66">
        <v>0</v>
      </c>
      <c r="U19" s="85">
        <v>0</v>
      </c>
      <c r="V19" s="85">
        <v>0</v>
      </c>
      <c r="W19" s="82"/>
      <c r="X19" s="80">
        <f t="shared" si="1"/>
        <v>355983.26666666666</v>
      </c>
      <c r="Y19" s="66"/>
      <c r="Z19" s="66">
        <v>185000</v>
      </c>
      <c r="AA19" s="66">
        <v>236000</v>
      </c>
      <c r="AB19" s="66">
        <v>0</v>
      </c>
      <c r="AC19" s="122">
        <f t="shared" si="2"/>
        <v>65016.733333333337</v>
      </c>
      <c r="AD19" s="122"/>
      <c r="AE19" s="80">
        <f t="shared" si="3"/>
        <v>65016.733333333337</v>
      </c>
      <c r="AF19" s="66"/>
      <c r="AG19" s="88">
        <v>0</v>
      </c>
      <c r="AH19" s="88">
        <v>0</v>
      </c>
      <c r="AI19" s="91">
        <v>0</v>
      </c>
      <c r="AJ19" s="84">
        <v>0</v>
      </c>
      <c r="AK19" s="82"/>
      <c r="AL19" s="85">
        <v>0</v>
      </c>
      <c r="AM19" s="84">
        <v>0</v>
      </c>
      <c r="AN19" s="82"/>
      <c r="AO19" s="80">
        <f t="shared" si="4"/>
        <v>65016.733333333337</v>
      </c>
      <c r="AP19" s="63"/>
      <c r="AQ19" s="93">
        <v>0</v>
      </c>
      <c r="AR19" s="93">
        <v>0</v>
      </c>
      <c r="AS19" s="180">
        <v>0</v>
      </c>
      <c r="AT19" s="180">
        <v>0</v>
      </c>
      <c r="AU19" s="180">
        <v>0</v>
      </c>
      <c r="AV19" s="180">
        <v>0</v>
      </c>
      <c r="AW19" s="180">
        <v>0</v>
      </c>
      <c r="AX19" s="184">
        <f t="shared" si="8"/>
        <v>0</v>
      </c>
      <c r="AY19" s="80">
        <f t="shared" si="5"/>
        <v>65016.733333333337</v>
      </c>
      <c r="AZ19" s="180">
        <v>0</v>
      </c>
      <c r="BA19" s="181">
        <v>0</v>
      </c>
      <c r="BB19" s="181">
        <v>0</v>
      </c>
      <c r="BC19" s="180">
        <v>0</v>
      </c>
      <c r="BD19" s="94"/>
      <c r="BE19" s="80">
        <f t="shared" si="6"/>
        <v>65016.733333333337</v>
      </c>
      <c r="BF19" s="115">
        <v>0</v>
      </c>
      <c r="BG19" s="115">
        <v>0</v>
      </c>
      <c r="BH19" s="7">
        <v>0</v>
      </c>
      <c r="BI19" s="115">
        <v>0</v>
      </c>
      <c r="BJ19" s="115">
        <v>0</v>
      </c>
      <c r="BK19" s="107"/>
      <c r="BL19" s="114">
        <f t="shared" si="7"/>
        <v>65016.733333333337</v>
      </c>
    </row>
    <row r="20" spans="1:64" ht="13.8" thickBot="1" x14ac:dyDescent="0.3">
      <c r="A20" s="63">
        <v>151</v>
      </c>
      <c r="B20" s="75" t="s">
        <v>44</v>
      </c>
      <c r="C20" s="61">
        <f>+GETPIVOTDATA("ADJBAL",AGTRAXDATA!$F$1,"BRANCH_NUMBER",151,"COMMODITY_CODE","01")/60</f>
        <v>92074.28333333334</v>
      </c>
      <c r="D20" s="61">
        <f>+GETPIVOTDATA("ADJBAL",AGTRAXDATA!$F$1,"BRANCH_NUMBER",151,"COMMODITY_CODE","02")/56</f>
        <v>0</v>
      </c>
      <c r="E20" s="61">
        <f>+GETPIVOTDATA("ADJBAL",AGTRAXDATA!$F$1,"BRANCH_NUMBER",151,"COMMODITY_CODE","04")/56</f>
        <v>0</v>
      </c>
      <c r="F20" s="61">
        <f>+GETPIVOTDATA("ADJBAL",AGTRAXDATA!$F$1,"BRANCH_NUMBER",151,"COMMODITY_CODE","03")/60</f>
        <v>0</v>
      </c>
      <c r="G20" s="61">
        <f>+GETPIVOTDATA("ADJBAL",AGTRAXDATA!$F$1,"BRANCH_NUMBER",151,"COMMODITY_CODE","22")/25</f>
        <v>0</v>
      </c>
      <c r="H20" s="76">
        <v>0</v>
      </c>
      <c r="I20" s="76"/>
      <c r="J20" s="80">
        <f t="shared" si="0"/>
        <v>92074.28333333334</v>
      </c>
      <c r="K20" s="66"/>
      <c r="L20" s="61">
        <f>+GETPIVOTDATA("LBS_UPDATED",SALESCONTRACTS!$E$1,"BRANCH_NUMBER",151,"COMMODITY_CODE","01")/60</f>
        <v>0</v>
      </c>
      <c r="M20" s="61">
        <f>+GETPIVOTDATA("LBS_UPDATED",SALESCONTRACTS!$E$1,"BRANCH_NUMBER",151,"COMMODITY_CODE","02")/56</f>
        <v>0</v>
      </c>
      <c r="N20" s="61">
        <f>+GETPIVOTDATA("LBS_UPDATED",SALESCONTRACTS!$E$1,"BRANCH_NUMBER",151,"COMMODITY_CODE","04")/56</f>
        <v>0</v>
      </c>
      <c r="O20" s="61">
        <f>+GETPIVOTDATA("LBS_UPDATED",SALESCONTRACTS!$E$1,"BRANCH_NUMBER",151,"COMMODITY_CODE","03")/60</f>
        <v>0</v>
      </c>
      <c r="P20" s="61">
        <f>+GETPIVOTDATA("LBS_UPDATED",SALESCONTRACTS!$E$1,"BRANCH_NUMBER",151,"COMMODITY_CODE","22")/25</f>
        <v>0</v>
      </c>
      <c r="Q20" s="66">
        <v>0</v>
      </c>
      <c r="R20" s="66">
        <v>0</v>
      </c>
      <c r="S20" s="66">
        <v>0</v>
      </c>
      <c r="T20" s="66">
        <v>0</v>
      </c>
      <c r="U20" s="85">
        <v>0</v>
      </c>
      <c r="V20" s="85">
        <v>0</v>
      </c>
      <c r="W20" s="82"/>
      <c r="X20" s="80">
        <f t="shared" si="1"/>
        <v>92074.28333333334</v>
      </c>
      <c r="Y20" s="66"/>
      <c r="Z20" s="66">
        <v>0</v>
      </c>
      <c r="AA20" s="66">
        <v>0</v>
      </c>
      <c r="AB20" s="66">
        <v>0</v>
      </c>
      <c r="AC20" s="122">
        <f t="shared" si="2"/>
        <v>-92074.28333333334</v>
      </c>
      <c r="AD20" s="122"/>
      <c r="AE20" s="80">
        <f t="shared" si="3"/>
        <v>-92074.28333333334</v>
      </c>
      <c r="AF20" s="66"/>
      <c r="AG20" s="88">
        <v>0</v>
      </c>
      <c r="AH20" s="88">
        <v>0</v>
      </c>
      <c r="AI20" s="91">
        <v>0</v>
      </c>
      <c r="AJ20" s="84">
        <v>0</v>
      </c>
      <c r="AK20" s="82"/>
      <c r="AL20" s="86">
        <v>0</v>
      </c>
      <c r="AM20" s="84">
        <v>0</v>
      </c>
      <c r="AN20" s="82"/>
      <c r="AO20" s="80">
        <f t="shared" si="4"/>
        <v>-92074.28333333334</v>
      </c>
      <c r="AP20" s="63"/>
      <c r="AQ20" s="93">
        <v>0</v>
      </c>
      <c r="AR20" s="93">
        <v>0</v>
      </c>
      <c r="AS20" s="180">
        <v>0</v>
      </c>
      <c r="AT20" s="180">
        <v>0</v>
      </c>
      <c r="AU20" s="180">
        <v>0</v>
      </c>
      <c r="AV20" s="180">
        <v>0</v>
      </c>
      <c r="AW20" s="180">
        <v>0</v>
      </c>
      <c r="AX20" s="184">
        <f t="shared" si="8"/>
        <v>0</v>
      </c>
      <c r="AY20" s="80">
        <f t="shared" si="5"/>
        <v>-92074.28333333334</v>
      </c>
      <c r="AZ20" s="115">
        <v>92000</v>
      </c>
      <c r="BA20" s="181">
        <v>0</v>
      </c>
      <c r="BB20" s="181">
        <v>0</v>
      </c>
      <c r="BC20" s="180">
        <v>0</v>
      </c>
      <c r="BD20" s="94"/>
      <c r="BE20" s="80">
        <f t="shared" si="6"/>
        <v>-74.283333333340124</v>
      </c>
      <c r="BF20" s="115">
        <v>0</v>
      </c>
      <c r="BG20" s="115">
        <v>0</v>
      </c>
      <c r="BH20" s="7">
        <v>0</v>
      </c>
      <c r="BI20" s="115">
        <v>0</v>
      </c>
      <c r="BJ20" s="115">
        <v>0</v>
      </c>
      <c r="BK20" s="107"/>
      <c r="BL20" s="114">
        <f t="shared" si="7"/>
        <v>-74.283333333340124</v>
      </c>
    </row>
    <row r="21" spans="1:64" ht="13.8" thickBot="1" x14ac:dyDescent="0.3">
      <c r="A21" s="63">
        <v>81</v>
      </c>
      <c r="B21" s="75" t="s">
        <v>45</v>
      </c>
      <c r="C21" s="61">
        <f>+GETPIVOTDATA("ADJBAL",AGTRAXDATA!$F$1,"BRANCH_NUMBER",81,"COMMODITY_CODE","01")/60</f>
        <v>53354.416666666664</v>
      </c>
      <c r="D21" s="61">
        <f>+GETPIVOTDATA("ADJBAL",AGTRAXDATA!$F$1,"BRANCH_NUMBER",81,"COMMODITY_CODE","02")/56</f>
        <v>0</v>
      </c>
      <c r="E21" s="61">
        <f>+GETPIVOTDATA("ADJBAL",AGTRAXDATA!$F$1,"BRANCH_NUMBER",81,"COMMODITY_CODE","04")/56</f>
        <v>0</v>
      </c>
      <c r="F21" s="61">
        <f>+GETPIVOTDATA("ADJBAL",AGTRAXDATA!$F$1,"BRANCH_NUMBER",81,"COMMODITY_CODE","03")/60</f>
        <v>0</v>
      </c>
      <c r="G21" s="61">
        <f>+GETPIVOTDATA("ADJBAL",AGTRAXDATA!$F$1,"BRANCH_NUMBER",81,"COMMODITY_CODE","22")/25</f>
        <v>0</v>
      </c>
      <c r="H21" s="76">
        <v>0</v>
      </c>
      <c r="I21" s="76"/>
      <c r="J21" s="80">
        <f t="shared" si="0"/>
        <v>53354.416666666664</v>
      </c>
      <c r="K21" s="66"/>
      <c r="L21" s="61">
        <f>+GETPIVOTDATA("LBS_UPDATED",SALESCONTRACTS!$E$1,"BRANCH_NUMBER",81,"COMMODITY_CODE","01")/60</f>
        <v>5.55</v>
      </c>
      <c r="M21" s="61">
        <f>+GETPIVOTDATA("LBS_UPDATED",SALESCONTRACTS!$E$1,"BRANCH_NUMBER",81,"COMMODITY_CODE","02")/56</f>
        <v>0</v>
      </c>
      <c r="N21" s="61">
        <f>+GETPIVOTDATA("LBS_UPDATED",SALESCONTRACTS!$E$1,"BRANCH_NUMBER",81,"COMMODITY_CODE","04")/56</f>
        <v>0</v>
      </c>
      <c r="O21" s="61">
        <f>+GETPIVOTDATA("LBS_UPDATED",SALESCONTRACTS!$E$1,"BRANCH_NUMBER",81,"COMMODITY_CODE","03")/60</f>
        <v>0</v>
      </c>
      <c r="P21" s="61">
        <f>+GETPIVOTDATA("LBS_UPDATED",SALESCONTRACTS!$E$1,"BRANCH_NUMBER",81,"COMMODITY_CODE","22")/25</f>
        <v>0</v>
      </c>
      <c r="Q21" s="66">
        <v>0</v>
      </c>
      <c r="R21" s="66">
        <v>0</v>
      </c>
      <c r="S21" s="66">
        <v>0</v>
      </c>
      <c r="T21" s="66">
        <v>0</v>
      </c>
      <c r="U21" s="85">
        <v>0</v>
      </c>
      <c r="V21" s="85">
        <v>0</v>
      </c>
      <c r="W21" s="82"/>
      <c r="X21" s="80">
        <f t="shared" si="1"/>
        <v>53348.866666666661</v>
      </c>
      <c r="Y21" s="66"/>
      <c r="Z21" s="66">
        <v>184500</v>
      </c>
      <c r="AA21" s="66">
        <v>0</v>
      </c>
      <c r="AB21" s="66">
        <v>0</v>
      </c>
      <c r="AC21" s="122">
        <f t="shared" si="2"/>
        <v>131145.58333333334</v>
      </c>
      <c r="AD21" s="122"/>
      <c r="AE21" s="80">
        <f t="shared" si="3"/>
        <v>131151.13333333333</v>
      </c>
      <c r="AF21" s="66"/>
      <c r="AG21" s="88">
        <v>0</v>
      </c>
      <c r="AH21" s="88">
        <v>0</v>
      </c>
      <c r="AI21" s="91">
        <v>0</v>
      </c>
      <c r="AJ21" s="84">
        <v>0</v>
      </c>
      <c r="AK21" s="82"/>
      <c r="AL21" s="85">
        <v>215000</v>
      </c>
      <c r="AM21" s="84">
        <v>0</v>
      </c>
      <c r="AN21" s="82"/>
      <c r="AO21" s="80">
        <f t="shared" si="4"/>
        <v>-83848.866666666669</v>
      </c>
      <c r="AP21" s="63"/>
      <c r="AQ21" s="93">
        <v>0</v>
      </c>
      <c r="AR21" s="93">
        <v>0</v>
      </c>
      <c r="AS21" s="180">
        <v>0</v>
      </c>
      <c r="AT21" s="180">
        <v>0</v>
      </c>
      <c r="AU21" s="180">
        <v>0</v>
      </c>
      <c r="AV21" s="180">
        <v>0</v>
      </c>
      <c r="AW21" s="180">
        <v>0</v>
      </c>
      <c r="AX21" s="184">
        <f t="shared" si="8"/>
        <v>0</v>
      </c>
      <c r="AY21" s="80">
        <f t="shared" si="5"/>
        <v>-83848.866666666669</v>
      </c>
      <c r="AZ21" s="180">
        <v>0</v>
      </c>
      <c r="BA21" s="181">
        <v>0</v>
      </c>
      <c r="BB21" s="181">
        <v>0</v>
      </c>
      <c r="BC21" s="180">
        <v>0</v>
      </c>
      <c r="BD21" s="94"/>
      <c r="BE21" s="80">
        <f t="shared" si="6"/>
        <v>-83848.866666666669</v>
      </c>
      <c r="BF21" s="115">
        <v>0</v>
      </c>
      <c r="BG21" s="115">
        <v>0</v>
      </c>
      <c r="BH21" s="7">
        <v>0</v>
      </c>
      <c r="BI21" s="115">
        <v>0</v>
      </c>
      <c r="BJ21" s="115">
        <v>0</v>
      </c>
      <c r="BK21" s="107"/>
      <c r="BL21" s="114">
        <f t="shared" si="7"/>
        <v>-83848.866666666669</v>
      </c>
    </row>
    <row r="22" spans="1:64" ht="13.8" thickBot="1" x14ac:dyDescent="0.3">
      <c r="A22" s="63">
        <v>185</v>
      </c>
      <c r="B22" s="75" t="s">
        <v>46</v>
      </c>
      <c r="C22" s="61">
        <f>+GETPIVOTDATA("ADJBAL",AGTRAXDATA!$F$1,"BRANCH_NUMBER",185,"COMMODITY_CODE","01")/60</f>
        <v>546279.6</v>
      </c>
      <c r="D22" s="61">
        <f>+GETPIVOTDATA("ADJBAL",AGTRAXDATA!$F$1,"BRANCH_NUMBER",185,"COMMODITY_CODE","02")/56</f>
        <v>0</v>
      </c>
      <c r="E22" s="61">
        <f>+GETPIVOTDATA("ADJBAL",AGTRAXDATA!$F$1,"BRANCH_NUMBER",185,"COMMODITY_CODE","04")/56</f>
        <v>0</v>
      </c>
      <c r="F22" s="61">
        <f>+GETPIVOTDATA("ADJBAL",AGTRAXDATA!$F$1,"BRANCH_NUMBER",185,"COMMODITY_CODE","03")/60</f>
        <v>0</v>
      </c>
      <c r="G22" s="61">
        <f>+GETPIVOTDATA("ADJBAL",AGTRAXDATA!$F$1,"BRANCH_NUMBER",185,"COMMODITY_CODE","22")/25</f>
        <v>0</v>
      </c>
      <c r="H22" s="76">
        <v>0</v>
      </c>
      <c r="I22" s="76"/>
      <c r="J22" s="80">
        <f t="shared" si="0"/>
        <v>546279.6</v>
      </c>
      <c r="K22" s="66"/>
      <c r="L22" s="61">
        <f>+GETPIVOTDATA("LBS_UPDATED",SALESCONTRACTS!$E$1,"BRANCH_NUMBER",185,"COMMODITY_CODE","01")/60</f>
        <v>0</v>
      </c>
      <c r="M22" s="61">
        <f>+GETPIVOTDATA("LBS_UPDATED",SALESCONTRACTS!$E$1,"BRANCH_NUMBER",185,"COMMODITY_CODE","02")/56</f>
        <v>0</v>
      </c>
      <c r="N22" s="61">
        <f>+GETPIVOTDATA("LBS_UPDATED",SALESCONTRACTS!$E$1,"BRANCH_NUMBER",185,"COMMODITY_CODE","04")/56</f>
        <v>0</v>
      </c>
      <c r="O22" s="61">
        <f>+GETPIVOTDATA("LBS_UPDATED",SALESCONTRACTS!$E$1,"BRANCH_NUMBER",185,"COMMODITY_CODE","03")/60</f>
        <v>0</v>
      </c>
      <c r="P22" s="61">
        <f>+GETPIVOTDATA("LBS_UPDATED",SALESCONTRACTS!$E$1,"BRANCH_NUMBER",185,"COMMODITY_CODE","22")/25</f>
        <v>0</v>
      </c>
      <c r="Q22" s="66">
        <v>0</v>
      </c>
      <c r="R22" s="66">
        <v>0</v>
      </c>
      <c r="S22" s="66">
        <v>0</v>
      </c>
      <c r="T22" s="66">
        <v>0</v>
      </c>
      <c r="U22" s="85">
        <v>0</v>
      </c>
      <c r="V22" s="85">
        <v>0</v>
      </c>
      <c r="W22" s="82"/>
      <c r="X22" s="80">
        <f t="shared" si="1"/>
        <v>546279.6</v>
      </c>
      <c r="Y22" s="66"/>
      <c r="Z22" s="66">
        <v>765000</v>
      </c>
      <c r="AA22" s="66">
        <v>0</v>
      </c>
      <c r="AB22" s="66">
        <v>0</v>
      </c>
      <c r="AC22" s="122">
        <f t="shared" si="2"/>
        <v>218720.40000000002</v>
      </c>
      <c r="AD22" s="122"/>
      <c r="AE22" s="80">
        <f t="shared" si="3"/>
        <v>218720.40000000002</v>
      </c>
      <c r="AF22" s="66"/>
      <c r="AG22" s="88">
        <v>0</v>
      </c>
      <c r="AH22" s="88">
        <v>0</v>
      </c>
      <c r="AI22" s="91">
        <v>0</v>
      </c>
      <c r="AJ22" s="84">
        <v>0</v>
      </c>
      <c r="AK22" s="82"/>
      <c r="AL22" s="85">
        <v>0</v>
      </c>
      <c r="AM22" s="84">
        <v>0</v>
      </c>
      <c r="AN22" s="82"/>
      <c r="AO22" s="80">
        <f t="shared" si="4"/>
        <v>218720.40000000002</v>
      </c>
      <c r="AP22" s="63"/>
      <c r="AQ22" s="93">
        <v>0</v>
      </c>
      <c r="AR22" s="93">
        <v>0</v>
      </c>
      <c r="AS22" s="180">
        <v>0</v>
      </c>
      <c r="AT22" s="180">
        <v>0</v>
      </c>
      <c r="AU22" s="64">
        <v>6000</v>
      </c>
      <c r="AV22" s="180">
        <v>0</v>
      </c>
      <c r="AW22" s="180">
        <v>0</v>
      </c>
      <c r="AX22" s="184">
        <f t="shared" si="8"/>
        <v>6000</v>
      </c>
      <c r="AY22" s="80">
        <f t="shared" si="5"/>
        <v>224720.40000000002</v>
      </c>
      <c r="AZ22" s="180">
        <v>0</v>
      </c>
      <c r="BA22" s="181">
        <v>0</v>
      </c>
      <c r="BB22" s="181">
        <v>0</v>
      </c>
      <c r="BC22" s="180">
        <v>0</v>
      </c>
      <c r="BD22" s="94"/>
      <c r="BE22" s="80">
        <f t="shared" si="6"/>
        <v>224720.40000000002</v>
      </c>
      <c r="BF22" s="115">
        <v>0</v>
      </c>
      <c r="BG22" s="115">
        <v>0</v>
      </c>
      <c r="BH22" s="7">
        <v>0</v>
      </c>
      <c r="BI22" s="115">
        <v>0</v>
      </c>
      <c r="BJ22" s="115">
        <v>0</v>
      </c>
      <c r="BK22" s="107"/>
      <c r="BL22" s="114">
        <f t="shared" si="7"/>
        <v>224720.40000000002</v>
      </c>
    </row>
    <row r="23" spans="1:64" ht="13.8" thickBot="1" x14ac:dyDescent="0.3">
      <c r="A23" s="63">
        <v>205</v>
      </c>
      <c r="B23" s="75" t="s">
        <v>47</v>
      </c>
      <c r="C23" s="61">
        <f>+GETPIVOTDATA("ADJBAL",AGTRAXDATA!$F$1,"BRANCH_NUMBER",205,"COMMODITY_CODE","01")/60</f>
        <v>1070869.3833333333</v>
      </c>
      <c r="D23" s="61">
        <f>+GETPIVOTDATA("ADJBAL",AGTRAXDATA!$F$1,"BRANCH_NUMBER",205,"COMMODITY_CODE","02")/56</f>
        <v>0</v>
      </c>
      <c r="E23" s="142">
        <f>+GETPIVOTDATA("ADJBAL",AGTRAXDATA!$F$1,"BRANCH_NUMBER",205,"COMMODITY_CODE","04")/56</f>
        <v>6214.5892857142853</v>
      </c>
      <c r="F23" s="61">
        <f>+GETPIVOTDATA("ADJBAL",AGTRAXDATA!$F$1,"BRANCH_NUMBER",205,"COMMODITY_CODE","03")/60</f>
        <v>564352.9</v>
      </c>
      <c r="G23" s="61">
        <f>+GETPIVOTDATA("ADJBAL",AGTRAXDATA!$F$1,"BRANCH_NUMBER",205,"COMMODITY_CODE","22")/25</f>
        <v>0</v>
      </c>
      <c r="H23" s="76">
        <v>0</v>
      </c>
      <c r="I23" s="76"/>
      <c r="J23" s="80">
        <f t="shared" si="0"/>
        <v>1641436.8726190478</v>
      </c>
      <c r="K23" s="66"/>
      <c r="L23" s="61">
        <f>+GETPIVOTDATA("LBS_UPDATED",SALESCONTRACTS!$E$1,"BRANCH_NUMBER",205,"COMMODITY_CODE","01")/60</f>
        <v>3243.45</v>
      </c>
      <c r="M23" s="61">
        <f>+GETPIVOTDATA("LBS_UPDATED",SALESCONTRACTS!$E$1,"BRANCH_NUMBER",205,"COMMODITY_CODE","02")/56</f>
        <v>0</v>
      </c>
      <c r="N23" s="61">
        <f>+GETPIVOTDATA("LBS_UPDATED",SALESCONTRACTS!$E$1,"BRANCH_NUMBER",205,"COMMODITY_CODE","04")/56</f>
        <v>0</v>
      </c>
      <c r="O23" s="61">
        <f>+GETPIVOTDATA("LBS_UPDATED",SALESCONTRACTS!$E$1,"BRANCH_NUMBER",205,"COMMODITY_CODE","03")/60</f>
        <v>0</v>
      </c>
      <c r="P23" s="61">
        <f>+GETPIVOTDATA("LBS_UPDATED",SALESCONTRACTS!$E$1,"BRANCH_NUMBER",205,"COMMODITY_CODE","22")/25</f>
        <v>0</v>
      </c>
      <c r="Q23" s="66">
        <v>0</v>
      </c>
      <c r="R23" s="66">
        <v>0</v>
      </c>
      <c r="S23" s="66">
        <v>0</v>
      </c>
      <c r="T23" s="66">
        <v>0</v>
      </c>
      <c r="U23" s="85">
        <v>0</v>
      </c>
      <c r="V23" s="85">
        <v>0</v>
      </c>
      <c r="W23" s="82"/>
      <c r="X23" s="80">
        <f t="shared" si="1"/>
        <v>1638193.4226190478</v>
      </c>
      <c r="Y23" s="66"/>
      <c r="Z23" s="66">
        <v>1620000</v>
      </c>
      <c r="AA23" s="66">
        <v>0</v>
      </c>
      <c r="AB23" s="66">
        <v>0</v>
      </c>
      <c r="AC23" s="122">
        <f t="shared" si="2"/>
        <v>-21436.872619047761</v>
      </c>
      <c r="AD23" s="122"/>
      <c r="AE23" s="80">
        <f t="shared" si="3"/>
        <v>-18193.422619047808</v>
      </c>
      <c r="AF23" s="66"/>
      <c r="AG23" s="88">
        <v>0</v>
      </c>
      <c r="AH23" s="88">
        <v>0</v>
      </c>
      <c r="AI23" s="91">
        <v>0</v>
      </c>
      <c r="AJ23" s="84">
        <v>0</v>
      </c>
      <c r="AK23" s="82"/>
      <c r="AL23" s="85">
        <v>100000</v>
      </c>
      <c r="AM23" s="84">
        <v>0</v>
      </c>
      <c r="AN23" s="82"/>
      <c r="AO23" s="80">
        <f t="shared" si="4"/>
        <v>-118193.42261904781</v>
      </c>
      <c r="AP23" s="63"/>
      <c r="AQ23" s="93">
        <v>0</v>
      </c>
      <c r="AR23" s="93">
        <v>0</v>
      </c>
      <c r="AS23" s="180">
        <v>0</v>
      </c>
      <c r="AT23" s="180">
        <v>0</v>
      </c>
      <c r="AU23" s="181">
        <v>0</v>
      </c>
      <c r="AV23" s="180">
        <v>0</v>
      </c>
      <c r="AW23" s="180">
        <v>0</v>
      </c>
      <c r="AX23" s="184">
        <f t="shared" si="8"/>
        <v>0</v>
      </c>
      <c r="AY23" s="80">
        <f t="shared" si="5"/>
        <v>-118193.42261904781</v>
      </c>
      <c r="AZ23" s="180">
        <v>0</v>
      </c>
      <c r="BA23" s="181">
        <v>0</v>
      </c>
      <c r="BB23" s="181">
        <v>0</v>
      </c>
      <c r="BC23" s="180">
        <v>0</v>
      </c>
      <c r="BD23" s="94"/>
      <c r="BE23" s="80">
        <f t="shared" si="6"/>
        <v>-118193.42261904781</v>
      </c>
      <c r="BF23" s="115">
        <v>0</v>
      </c>
      <c r="BG23" s="115">
        <v>0</v>
      </c>
      <c r="BH23" s="7">
        <v>0</v>
      </c>
      <c r="BI23" s="116">
        <v>250000</v>
      </c>
      <c r="BJ23" s="115">
        <v>0</v>
      </c>
      <c r="BK23" s="107"/>
      <c r="BL23" s="114">
        <f t="shared" si="7"/>
        <v>131806.57738095219</v>
      </c>
    </row>
    <row r="24" spans="1:64" ht="13.8" thickBot="1" x14ac:dyDescent="0.3">
      <c r="A24" s="63">
        <v>212</v>
      </c>
      <c r="B24" s="75" t="s">
        <v>48</v>
      </c>
      <c r="C24" s="61">
        <f>+GETPIVOTDATA("ADJBAL",AGTRAXDATA!$F$1,"BRANCH_NUMBER",212,"COMMODITY_CODE","01")/60</f>
        <v>414278.33333333331</v>
      </c>
      <c r="D24" s="61">
        <f>+GETPIVOTDATA("ADJBAL",AGTRAXDATA!$F$1,"BRANCH_NUMBER",212,"COMMODITY_CODE","02")/56</f>
        <v>0</v>
      </c>
      <c r="E24" s="142">
        <f>+GETPIVOTDATA("ADJBAL",AGTRAXDATA!$F$1,"BRANCH_NUMBER",212,"COMMODITY_CODE","04")/56</f>
        <v>118953.48214285714</v>
      </c>
      <c r="F24" s="61">
        <f>+GETPIVOTDATA("ADJBAL",AGTRAXDATA!$F$1,"BRANCH_NUMBER",212,"COMMODITY_CODE","03")/60</f>
        <v>200054.3</v>
      </c>
      <c r="G24" s="61">
        <f>+GETPIVOTDATA("ADJBAL",AGTRAXDATA!$F$1,"BRANCH_NUMBER",212,"COMMODITY_CODE","22")/25</f>
        <v>0</v>
      </c>
      <c r="H24" s="76">
        <v>0</v>
      </c>
      <c r="I24" s="76"/>
      <c r="J24" s="80">
        <f t="shared" si="0"/>
        <v>733286.11547619035</v>
      </c>
      <c r="K24" s="66"/>
      <c r="L24" s="61">
        <f>+GETPIVOTDATA("LBS_UPDATED",SALESCONTRACTS!$E$1,"BRANCH_NUMBER",212,"COMMODITY_CODE","01")/60</f>
        <v>-345.6</v>
      </c>
      <c r="M24" s="61">
        <f>+GETPIVOTDATA("LBS_UPDATED",SALESCONTRACTS!$E$1,"BRANCH_NUMBER",212,"COMMODITY_CODE","02")/56</f>
        <v>0</v>
      </c>
      <c r="N24" s="61">
        <f>+GETPIVOTDATA("LBS_UPDATED",SALESCONTRACTS!$E$1,"BRANCH_NUMBER",212,"COMMODITY_CODE","04")/56</f>
        <v>0</v>
      </c>
      <c r="O24" s="61">
        <f>+GETPIVOTDATA("LBS_UPDATED",SALESCONTRACTS!$E$1,"BRANCH_NUMBER",212,"COMMODITY_CODE","03")/60</f>
        <v>276</v>
      </c>
      <c r="P24" s="61">
        <f>+GETPIVOTDATA("LBS_UPDATED",SALESCONTRACTS!$E$1,"BRANCH_NUMBER",212,"COMMODITY_CODE","22")/25</f>
        <v>0</v>
      </c>
      <c r="Q24" s="66">
        <v>0</v>
      </c>
      <c r="R24" s="66">
        <v>0</v>
      </c>
      <c r="S24" s="66">
        <v>0</v>
      </c>
      <c r="T24" s="66">
        <v>0</v>
      </c>
      <c r="U24" s="85">
        <v>0</v>
      </c>
      <c r="V24" s="85">
        <v>0</v>
      </c>
      <c r="W24" s="82"/>
      <c r="X24" s="80">
        <f t="shared" si="1"/>
        <v>733355.71547619032</v>
      </c>
      <c r="Y24" s="66"/>
      <c r="Z24" s="66">
        <v>1186200</v>
      </c>
      <c r="AA24" s="66">
        <v>0</v>
      </c>
      <c r="AB24" s="66">
        <v>0</v>
      </c>
      <c r="AC24" s="122">
        <f t="shared" si="2"/>
        <v>452913.88452380965</v>
      </c>
      <c r="AD24" s="122"/>
      <c r="AE24" s="80">
        <f t="shared" si="3"/>
        <v>452844.28452380968</v>
      </c>
      <c r="AF24" s="66"/>
      <c r="AG24" s="88">
        <v>0</v>
      </c>
      <c r="AH24" s="88">
        <v>0</v>
      </c>
      <c r="AI24" s="91">
        <v>0</v>
      </c>
      <c r="AJ24" s="84">
        <v>0</v>
      </c>
      <c r="AK24" s="82"/>
      <c r="AL24" s="85">
        <v>500000</v>
      </c>
      <c r="AM24" s="84">
        <v>0</v>
      </c>
      <c r="AN24" s="82"/>
      <c r="AO24" s="80">
        <f t="shared" si="4"/>
        <v>-47155.715476190322</v>
      </c>
      <c r="AP24" s="63"/>
      <c r="AQ24" s="93">
        <v>0</v>
      </c>
      <c r="AR24" s="93">
        <v>0</v>
      </c>
      <c r="AS24" s="180">
        <v>0</v>
      </c>
      <c r="AT24" s="180">
        <v>0</v>
      </c>
      <c r="AU24" s="181">
        <v>0</v>
      </c>
      <c r="AV24" s="180">
        <v>0</v>
      </c>
      <c r="AW24" s="180">
        <v>0</v>
      </c>
      <c r="AX24" s="184">
        <f t="shared" si="8"/>
        <v>0</v>
      </c>
      <c r="AY24" s="80">
        <f t="shared" si="5"/>
        <v>-47155.715476190322</v>
      </c>
      <c r="AZ24" s="180">
        <v>0</v>
      </c>
      <c r="BA24" s="181">
        <v>0</v>
      </c>
      <c r="BB24" s="181">
        <v>0</v>
      </c>
      <c r="BC24" s="180">
        <v>0</v>
      </c>
      <c r="BD24" s="94"/>
      <c r="BE24" s="80">
        <f t="shared" si="6"/>
        <v>-47155.715476190322</v>
      </c>
      <c r="BF24" s="115">
        <v>0</v>
      </c>
      <c r="BG24" s="115">
        <v>0</v>
      </c>
      <c r="BH24" s="111">
        <v>45000</v>
      </c>
      <c r="BI24" s="180">
        <v>0</v>
      </c>
      <c r="BJ24" s="115">
        <v>0</v>
      </c>
      <c r="BK24" s="107"/>
      <c r="BL24" s="114">
        <f t="shared" si="7"/>
        <v>-2155.7154761903221</v>
      </c>
    </row>
    <row r="25" spans="1:64" ht="13.8" thickBot="1" x14ac:dyDescent="0.3">
      <c r="A25" s="63">
        <v>215</v>
      </c>
      <c r="B25" s="75" t="s">
        <v>147</v>
      </c>
      <c r="C25" s="61">
        <f>+GETPIVOTDATA("ADJBAL",AGTRAXDATA!$F$1,"BRANCH_NUMBER",215,"COMMODITY_CODE","01")/60</f>
        <v>986387.9</v>
      </c>
      <c r="D25" s="61">
        <f>+GETPIVOTDATA("ADJBAL",AGTRAXDATA!$F$1,"BRANCH_NUMBER",215,"COMMODITY_CODE","02")/56</f>
        <v>0</v>
      </c>
      <c r="E25" s="61">
        <f>+GETPIVOTDATA("ADJBAL",AGTRAXDATA!$F$1,"BRANCH_NUMBER",215,"COMMODITY_CODE","04")/56</f>
        <v>809115.66071428568</v>
      </c>
      <c r="F25" s="61">
        <f>+GETPIVOTDATA("ADJBAL",AGTRAXDATA!$F$1,"BRANCH_NUMBER",215,"COMMODITY_CODE","03")/60</f>
        <v>0</v>
      </c>
      <c r="G25" s="61">
        <f>+GETPIVOTDATA("ADJBAL",AGTRAXDATA!$F$1,"BRANCH_NUMBER",215,"COMMODITY_CODE","22")/25</f>
        <v>0</v>
      </c>
      <c r="H25" s="76">
        <v>0</v>
      </c>
      <c r="I25" s="76"/>
      <c r="J25" s="80">
        <f t="shared" si="0"/>
        <v>1795503.5607142858</v>
      </c>
      <c r="K25" s="66"/>
      <c r="L25" s="61">
        <f>+GETPIVOTDATA("LBS_UPDATED",SALESCONTRACTS!$E$1,"BRANCH_NUMBER",215,"COMMODITY_CODE","01")/60</f>
        <v>0</v>
      </c>
      <c r="M25" s="61">
        <f>+GETPIVOTDATA("LBS_UPDATED",SALESCONTRACTS!$E$1,"BRANCH_NUMBER",215,"COMMODITY_CODE","02")/56</f>
        <v>0</v>
      </c>
      <c r="N25" s="61">
        <f>+GETPIVOTDATA("LBS_UPDATED",SALESCONTRACTS!$E$1,"BRANCH_NUMBER",215,"COMMODITY_CODE","04")/56</f>
        <v>0</v>
      </c>
      <c r="O25" s="61">
        <f>+GETPIVOTDATA("LBS_UPDATED",SALESCONTRACTS!$E$1,"BRANCH_NUMBER",215,"COMMODITY_CODE","03")/60</f>
        <v>0</v>
      </c>
      <c r="P25" s="61">
        <f>+GETPIVOTDATA("LBS_UPDATED",SALESCONTRACTS!$E$1,"BRANCH_NUMBER",215,"COMMODITY_CODE","22")/25</f>
        <v>0</v>
      </c>
      <c r="Q25" s="66">
        <v>0</v>
      </c>
      <c r="R25" s="66">
        <v>0</v>
      </c>
      <c r="S25" s="66">
        <v>0</v>
      </c>
      <c r="T25" s="66">
        <v>0</v>
      </c>
      <c r="U25" s="85">
        <v>0</v>
      </c>
      <c r="V25" s="85">
        <v>0</v>
      </c>
      <c r="W25" s="82"/>
      <c r="X25" s="80">
        <f t="shared" si="1"/>
        <v>1795503.5607142858</v>
      </c>
      <c r="Y25" s="66"/>
      <c r="Z25" s="66">
        <v>1875000</v>
      </c>
      <c r="AA25" s="66">
        <v>0</v>
      </c>
      <c r="AB25" s="66">
        <v>0</v>
      </c>
      <c r="AC25" s="122">
        <f t="shared" si="2"/>
        <v>79496.439285714179</v>
      </c>
      <c r="AD25" s="122"/>
      <c r="AE25" s="80">
        <f t="shared" si="3"/>
        <v>79496.439285714179</v>
      </c>
      <c r="AF25" s="83"/>
      <c r="AG25" s="88">
        <v>0</v>
      </c>
      <c r="AH25" s="88">
        <v>0</v>
      </c>
      <c r="AI25" s="91">
        <v>0</v>
      </c>
      <c r="AJ25" s="84">
        <v>0</v>
      </c>
      <c r="AK25" s="82"/>
      <c r="AL25" s="85">
        <v>0</v>
      </c>
      <c r="AM25" s="84">
        <v>0</v>
      </c>
      <c r="AN25" s="82"/>
      <c r="AO25" s="80">
        <f t="shared" si="4"/>
        <v>79496.439285714179</v>
      </c>
      <c r="AP25" s="63"/>
      <c r="AQ25" s="93">
        <v>0</v>
      </c>
      <c r="AR25" s="93">
        <v>0</v>
      </c>
      <c r="AS25" s="180">
        <v>0</v>
      </c>
      <c r="AT25" s="180">
        <v>0</v>
      </c>
      <c r="AU25" s="181">
        <v>0</v>
      </c>
      <c r="AV25" s="180">
        <v>0</v>
      </c>
      <c r="AW25" s="180">
        <v>0</v>
      </c>
      <c r="AX25" s="184">
        <f t="shared" si="8"/>
        <v>0</v>
      </c>
      <c r="AY25" s="80">
        <f t="shared" si="5"/>
        <v>79496.439285714179</v>
      </c>
      <c r="AZ25" s="180">
        <v>0</v>
      </c>
      <c r="BA25" s="181">
        <v>0</v>
      </c>
      <c r="BB25" s="64">
        <v>409000</v>
      </c>
      <c r="BC25" s="180">
        <v>0</v>
      </c>
      <c r="BD25" s="94"/>
      <c r="BE25" s="80">
        <f t="shared" si="6"/>
        <v>488496.43928571418</v>
      </c>
      <c r="BF25" s="115">
        <v>0</v>
      </c>
      <c r="BG25" s="115">
        <v>0</v>
      </c>
      <c r="BH25" s="7">
        <v>400000</v>
      </c>
      <c r="BI25" s="180">
        <v>0</v>
      </c>
      <c r="BJ25" s="115">
        <v>0</v>
      </c>
      <c r="BK25" s="107"/>
      <c r="BL25" s="114">
        <f t="shared" si="7"/>
        <v>888496.43928571418</v>
      </c>
    </row>
    <row r="26" spans="1:64" ht="13.8" thickBot="1" x14ac:dyDescent="0.3">
      <c r="A26" s="63">
        <v>222</v>
      </c>
      <c r="B26" s="75" t="s">
        <v>49</v>
      </c>
      <c r="C26" s="61">
        <f>+GETPIVOTDATA("ADJBAL",AGTRAXDATA!$F$1,"BRANCH_NUMBER",222,"COMMODITY_CODE","01")/60</f>
        <v>208966.76666666666</v>
      </c>
      <c r="D26" s="61">
        <f>+GETPIVOTDATA("ADJBAL",AGTRAXDATA!$F$1,"BRANCH_NUMBER",222,"COMMODITY_CODE","02")/56</f>
        <v>989.48214285714289</v>
      </c>
      <c r="E26" s="61">
        <f>+GETPIVOTDATA("ADJBAL",AGTRAXDATA!$F$1,"BRANCH_NUMBER",222,"COMMODITY_CODE","04")/56</f>
        <v>15359.25</v>
      </c>
      <c r="F26" s="61">
        <f>+GETPIVOTDATA("ADJBAL",AGTRAXDATA!$F$1,"BRANCH_NUMBER",222,"COMMODITY_CODE","03")/60</f>
        <v>262490.55</v>
      </c>
      <c r="G26" s="61">
        <f>+GETPIVOTDATA("ADJBAL",AGTRAXDATA!$F$1,"BRANCH_NUMBER",222,"COMMODITY_CODE","22")/25</f>
        <v>0</v>
      </c>
      <c r="H26" s="76">
        <v>0</v>
      </c>
      <c r="I26" s="76"/>
      <c r="J26" s="80">
        <f t="shared" si="0"/>
        <v>487806.04880952381</v>
      </c>
      <c r="K26" s="66"/>
      <c r="L26" s="61">
        <f>+GETPIVOTDATA("LBS_UPDATED",SALESCONTRACTS!$E$1,"BRANCH_NUMBER",222,"COMMODITY_CODE","01")/60</f>
        <v>0</v>
      </c>
      <c r="M26" s="61">
        <f>+GETPIVOTDATA("LBS_UPDATED",SALESCONTRACTS!$E$1,"BRANCH_NUMBER",222,"COMMODITY_CODE","02")/56</f>
        <v>0</v>
      </c>
      <c r="N26" s="61">
        <f>+GETPIVOTDATA("LBS_UPDATED",SALESCONTRACTS!$E$1,"BRANCH_NUMBER",222,"COMMODITY_CODE","04")/56</f>
        <v>0</v>
      </c>
      <c r="O26" s="61">
        <f>+GETPIVOTDATA("LBS_UPDATED",SALESCONTRACTS!$E$1,"BRANCH_NUMBER",222,"COMMODITY_CODE","03")/60</f>
        <v>41591.283333333333</v>
      </c>
      <c r="P26" s="61">
        <f>+GETPIVOTDATA("LBS_UPDATED",SALESCONTRACTS!$E$1,"BRANCH_NUMBER",222,"COMMODITY_CODE","22")/25</f>
        <v>0</v>
      </c>
      <c r="Q26" s="66">
        <v>0</v>
      </c>
      <c r="R26" s="66">
        <v>0</v>
      </c>
      <c r="S26" s="66">
        <v>0</v>
      </c>
      <c r="T26" s="66">
        <v>0</v>
      </c>
      <c r="U26" s="85">
        <v>0</v>
      </c>
      <c r="V26" s="85">
        <v>0</v>
      </c>
      <c r="W26" s="82"/>
      <c r="X26" s="80">
        <f t="shared" si="1"/>
        <v>446214.76547619049</v>
      </c>
      <c r="Y26" s="66"/>
      <c r="Z26" s="66">
        <v>463000</v>
      </c>
      <c r="AA26" s="66">
        <v>220000</v>
      </c>
      <c r="AB26" s="66">
        <v>0</v>
      </c>
      <c r="AC26" s="122">
        <f t="shared" si="2"/>
        <v>195193.95119047619</v>
      </c>
      <c r="AD26" s="122"/>
      <c r="AE26" s="80">
        <f t="shared" si="3"/>
        <v>236785.23452380951</v>
      </c>
      <c r="AF26" s="66"/>
      <c r="AG26" s="88">
        <v>0</v>
      </c>
      <c r="AH26" s="88">
        <v>0</v>
      </c>
      <c r="AI26" s="91">
        <v>0</v>
      </c>
      <c r="AJ26" s="84">
        <v>0</v>
      </c>
      <c r="AK26" s="82"/>
      <c r="AL26" s="85">
        <v>370000</v>
      </c>
      <c r="AM26" s="84">
        <v>0</v>
      </c>
      <c r="AN26" s="82"/>
      <c r="AO26" s="80">
        <f t="shared" si="4"/>
        <v>-133214.76547619049</v>
      </c>
      <c r="AP26" s="63"/>
      <c r="AQ26" s="93">
        <v>0</v>
      </c>
      <c r="AR26" s="93">
        <v>0</v>
      </c>
      <c r="AS26" s="180">
        <v>0</v>
      </c>
      <c r="AT26" s="180">
        <v>0</v>
      </c>
      <c r="AU26" s="181">
        <v>0</v>
      </c>
      <c r="AV26" s="64">
        <v>185000</v>
      </c>
      <c r="AW26" s="180">
        <v>0</v>
      </c>
      <c r="AX26" s="184">
        <f t="shared" si="8"/>
        <v>185000</v>
      </c>
      <c r="AY26" s="80">
        <f t="shared" si="5"/>
        <v>51785.234523809515</v>
      </c>
      <c r="AZ26" s="180">
        <v>0</v>
      </c>
      <c r="BA26" s="181">
        <v>0</v>
      </c>
      <c r="BB26" s="64">
        <v>15000</v>
      </c>
      <c r="BC26" s="180">
        <v>0</v>
      </c>
      <c r="BD26" s="94"/>
      <c r="BE26" s="80">
        <f t="shared" si="6"/>
        <v>66785.234523809515</v>
      </c>
      <c r="BF26" s="115">
        <v>0</v>
      </c>
      <c r="BG26" s="115">
        <v>0</v>
      </c>
      <c r="BH26" s="7">
        <v>0</v>
      </c>
      <c r="BI26" s="180">
        <v>0</v>
      </c>
      <c r="BJ26" s="115">
        <v>0</v>
      </c>
      <c r="BK26" s="107"/>
      <c r="BL26" s="114">
        <f t="shared" si="7"/>
        <v>66785.234523809515</v>
      </c>
    </row>
    <row r="27" spans="1:64" ht="13.8" thickBot="1" x14ac:dyDescent="0.3">
      <c r="A27" s="63">
        <v>242</v>
      </c>
      <c r="B27" s="75" t="s">
        <v>50</v>
      </c>
      <c r="C27" s="61">
        <f>+GETPIVOTDATA("ADJBAL",AGTRAXDATA!$F$1,"BRANCH_NUMBER",242,"COMMODITY_CODE","01")/60</f>
        <v>429389.81666666665</v>
      </c>
      <c r="D27" s="61">
        <f>+GETPIVOTDATA("ADJBAL",AGTRAXDATA!$F$1,"BRANCH_NUMBER",242,"COMMODITY_CODE","02")/56</f>
        <v>0</v>
      </c>
      <c r="E27" s="61">
        <f>+GETPIVOTDATA("ADJBAL",AGTRAXDATA!$F$1,"BRANCH_NUMBER",242,"COMMODITY_CODE","04")/56</f>
        <v>238536.23214285713</v>
      </c>
      <c r="F27" s="61">
        <f>+GETPIVOTDATA("ADJBAL",AGTRAXDATA!$F$1,"BRANCH_NUMBER",242,"COMMODITY_CODE","03")/60</f>
        <v>300088.68333333335</v>
      </c>
      <c r="G27" s="61">
        <f>+GETPIVOTDATA("ADJBAL",AGTRAXDATA!$F$1,"BRANCH_NUMBER",242,"COMMODITY_CODE","22")/25</f>
        <v>0</v>
      </c>
      <c r="H27" s="76">
        <v>0</v>
      </c>
      <c r="I27" s="76"/>
      <c r="J27" s="80">
        <f t="shared" si="0"/>
        <v>968014.73214285716</v>
      </c>
      <c r="K27" s="66"/>
      <c r="L27" s="61">
        <f>+GETPIVOTDATA("LBS_UPDATED",SALESCONTRACTS!$E$1,"BRANCH_NUMBER",242,"COMMODITY_CODE","01")/60</f>
        <v>0</v>
      </c>
      <c r="M27" s="61">
        <f>+GETPIVOTDATA("LBS_UPDATED",SALESCONTRACTS!$E$1,"BRANCH_NUMBER",242,"COMMODITY_CODE","02")/56</f>
        <v>0</v>
      </c>
      <c r="N27" s="61">
        <f>+GETPIVOTDATA("LBS_UPDATED",SALESCONTRACTS!$E$1,"BRANCH_NUMBER",242,"COMMODITY_CODE","04")/56</f>
        <v>9201.7857142857138</v>
      </c>
      <c r="O27" s="61">
        <f>+GETPIVOTDATA("LBS_UPDATED",SALESCONTRACTS!$E$1,"BRANCH_NUMBER",242,"COMMODITY_CODE","03")/60</f>
        <v>0</v>
      </c>
      <c r="P27" s="61">
        <f>+GETPIVOTDATA("LBS_UPDATED",SALESCONTRACTS!$E$1,"BRANCH_NUMBER",242,"COMMODITY_CODE","22")/25</f>
        <v>0</v>
      </c>
      <c r="Q27" s="66">
        <v>0</v>
      </c>
      <c r="R27" s="66">
        <v>0</v>
      </c>
      <c r="S27" s="66">
        <v>0</v>
      </c>
      <c r="T27" s="66">
        <v>0</v>
      </c>
      <c r="U27" s="85">
        <v>0</v>
      </c>
      <c r="V27" s="85">
        <v>100000</v>
      </c>
      <c r="W27" s="82"/>
      <c r="X27" s="80">
        <f t="shared" si="1"/>
        <v>858812.94642857148</v>
      </c>
      <c r="Y27" s="66"/>
      <c r="Z27" s="66">
        <v>1100000</v>
      </c>
      <c r="AA27" s="66">
        <v>0</v>
      </c>
      <c r="AB27" s="66">
        <v>0</v>
      </c>
      <c r="AC27" s="122">
        <f t="shared" si="2"/>
        <v>131985.26785714284</v>
      </c>
      <c r="AD27" s="122"/>
      <c r="AE27" s="80">
        <f t="shared" si="3"/>
        <v>241187.05357142852</v>
      </c>
      <c r="AF27" s="66"/>
      <c r="AG27" s="88">
        <v>0</v>
      </c>
      <c r="AH27" s="88">
        <v>0</v>
      </c>
      <c r="AI27" s="91">
        <v>0</v>
      </c>
      <c r="AJ27" s="84">
        <v>0</v>
      </c>
      <c r="AK27" s="82"/>
      <c r="AL27" s="138">
        <v>175000</v>
      </c>
      <c r="AM27" s="84">
        <v>0</v>
      </c>
      <c r="AN27" s="82"/>
      <c r="AO27" s="80">
        <f t="shared" si="4"/>
        <v>66187.053571428522</v>
      </c>
      <c r="AP27" s="63"/>
      <c r="AQ27" s="93">
        <v>0</v>
      </c>
      <c r="AR27" s="93">
        <v>0</v>
      </c>
      <c r="AS27" s="180">
        <v>0</v>
      </c>
      <c r="AT27" s="180">
        <v>0</v>
      </c>
      <c r="AU27" s="181">
        <v>0</v>
      </c>
      <c r="AV27" s="180">
        <v>0</v>
      </c>
      <c r="AW27" s="180">
        <v>0</v>
      </c>
      <c r="AX27" s="184">
        <f t="shared" si="8"/>
        <v>0</v>
      </c>
      <c r="AY27" s="80">
        <f t="shared" si="5"/>
        <v>66187.053571428522</v>
      </c>
      <c r="AZ27" s="180">
        <v>0</v>
      </c>
      <c r="BA27" s="181">
        <v>0</v>
      </c>
      <c r="BB27" s="180">
        <v>0</v>
      </c>
      <c r="BC27" s="180">
        <v>0</v>
      </c>
      <c r="BD27" s="94"/>
      <c r="BE27" s="80">
        <f t="shared" si="6"/>
        <v>66187.053571428522</v>
      </c>
      <c r="BF27" s="115">
        <v>0</v>
      </c>
      <c r="BG27" s="115">
        <v>0</v>
      </c>
      <c r="BH27" s="111">
        <v>133000</v>
      </c>
      <c r="BI27" s="180">
        <v>0</v>
      </c>
      <c r="BJ27" s="115">
        <v>0</v>
      </c>
      <c r="BK27" s="107"/>
      <c r="BL27" s="114">
        <f t="shared" si="7"/>
        <v>199187.05357142852</v>
      </c>
    </row>
    <row r="28" spans="1:64" ht="13.8" thickBot="1" x14ac:dyDescent="0.3">
      <c r="A28" s="63">
        <v>245</v>
      </c>
      <c r="B28" s="75" t="s">
        <v>197</v>
      </c>
      <c r="C28" s="61">
        <f>+GETPIVOTDATA("ADJBAL",AGTRAXDATA!$F$1,"BRANCH_NUMBER",245,"COMMODITY_CODE","01")/60</f>
        <v>0</v>
      </c>
      <c r="D28" s="61">
        <f>+GETPIVOTDATA("ADJBAL",AGTRAXDATA!$F$1,"BRANCH_NUMBER",245,"COMMODITY_CODE","02")/56</f>
        <v>0</v>
      </c>
      <c r="E28" s="61">
        <f>+GETPIVOTDATA("ADJBAL",AGTRAXDATA!$F$1,"BRANCH_NUMBER",245,"COMMODITY_CODE","04")/56</f>
        <v>242364.60714285713</v>
      </c>
      <c r="F28" s="61">
        <f>+GETPIVOTDATA("ADJBAL",AGTRAXDATA!$F$1,"BRANCH_NUMBER",245,"COMMODITY_CODE","03")/60</f>
        <v>0</v>
      </c>
      <c r="G28" s="61">
        <f>+GETPIVOTDATA("ADJBAL",AGTRAXDATA!$F$1,"BRANCH_NUMBER",245,"COMMODITY_CODE","22")/25</f>
        <v>0</v>
      </c>
      <c r="H28" s="76">
        <v>0</v>
      </c>
      <c r="I28" s="76"/>
      <c r="J28" s="80">
        <f t="shared" si="0"/>
        <v>242364.60714285713</v>
      </c>
      <c r="K28" s="66"/>
      <c r="L28" s="61">
        <f>+GETPIVOTDATA("LBS_UPDATED",SALESCONTRACTS!$E$1,"BRANCH_NUMBER",245,"COMMODITY_CODE","01")/60</f>
        <v>0</v>
      </c>
      <c r="M28" s="61">
        <f>+GETPIVOTDATA("LBS_UPDATED",SALESCONTRACTS!$E$1,"BRANCH_NUMBER",245,"COMMODITY_CODE","02")/56</f>
        <v>0</v>
      </c>
      <c r="N28" s="61">
        <f>+GETPIVOTDATA("LBS_UPDATED",SALESCONTRACTS!$E$1,"BRANCH_NUMBER",245,"COMMODITY_CODE","04")/56</f>
        <v>0</v>
      </c>
      <c r="O28" s="61">
        <f>+GETPIVOTDATA("LBS_UPDATED",SALESCONTRACTS!$E$1,"BRANCH_NUMBER",245,"COMMODITY_CODE","03")/60</f>
        <v>0</v>
      </c>
      <c r="P28" s="61">
        <f>+GETPIVOTDATA("LBS_UPDATED",SALESCONTRACTS!$E$1,"BRANCH_NUMBER",245,"COMMODITY_CODE","22")/25</f>
        <v>0</v>
      </c>
      <c r="Q28" s="66">
        <v>0</v>
      </c>
      <c r="R28" s="66">
        <v>0</v>
      </c>
      <c r="S28" s="66">
        <v>0</v>
      </c>
      <c r="T28" s="66">
        <v>0</v>
      </c>
      <c r="U28" s="85">
        <v>0</v>
      </c>
      <c r="V28" s="85">
        <v>0</v>
      </c>
      <c r="W28" s="82"/>
      <c r="X28" s="80">
        <f t="shared" si="1"/>
        <v>242364.60714285713</v>
      </c>
      <c r="Y28" s="66"/>
      <c r="Z28" s="66">
        <v>0</v>
      </c>
      <c r="AA28" s="66">
        <v>375000</v>
      </c>
      <c r="AB28" s="66">
        <v>0</v>
      </c>
      <c r="AC28" s="122">
        <f t="shared" si="2"/>
        <v>132635.39285714287</v>
      </c>
      <c r="AD28" s="122"/>
      <c r="AE28" s="80">
        <f t="shared" si="3"/>
        <v>132635.39285714287</v>
      </c>
      <c r="AF28" s="66"/>
      <c r="AG28" s="88">
        <v>0</v>
      </c>
      <c r="AH28" s="88">
        <v>0</v>
      </c>
      <c r="AI28" s="91">
        <v>0</v>
      </c>
      <c r="AJ28" s="84">
        <v>0</v>
      </c>
      <c r="AK28" s="82"/>
      <c r="AL28" s="85">
        <v>0</v>
      </c>
      <c r="AM28" s="84">
        <v>0</v>
      </c>
      <c r="AN28" s="82"/>
      <c r="AO28" s="80">
        <f t="shared" si="4"/>
        <v>132635.39285714287</v>
      </c>
      <c r="AP28" s="63"/>
      <c r="AQ28" s="93">
        <v>0</v>
      </c>
      <c r="AR28" s="93">
        <v>0</v>
      </c>
      <c r="AS28" s="180">
        <v>0</v>
      </c>
      <c r="AT28" s="180">
        <v>0</v>
      </c>
      <c r="AU28" s="181">
        <v>0</v>
      </c>
      <c r="AV28" s="180">
        <v>0</v>
      </c>
      <c r="AW28" s="180">
        <v>0</v>
      </c>
      <c r="AX28" s="184">
        <f t="shared" si="8"/>
        <v>0</v>
      </c>
      <c r="AY28" s="80">
        <f t="shared" si="5"/>
        <v>132635.39285714287</v>
      </c>
      <c r="AZ28" s="180">
        <v>0</v>
      </c>
      <c r="BA28" s="181">
        <v>0</v>
      </c>
      <c r="BB28" s="64">
        <v>242000</v>
      </c>
      <c r="BC28" s="180">
        <v>0</v>
      </c>
      <c r="BD28" s="94"/>
      <c r="BE28" s="80">
        <f t="shared" si="6"/>
        <v>374635.39285714284</v>
      </c>
      <c r="BF28" s="115">
        <v>0</v>
      </c>
      <c r="BG28" s="115">
        <v>0</v>
      </c>
      <c r="BH28" s="7">
        <v>0</v>
      </c>
      <c r="BI28" s="180">
        <v>0</v>
      </c>
      <c r="BJ28" s="115">
        <v>0</v>
      </c>
      <c r="BK28" s="107"/>
      <c r="BL28" s="114">
        <f t="shared" si="7"/>
        <v>374635.39285714284</v>
      </c>
    </row>
    <row r="29" spans="1:64" ht="13.8" thickBot="1" x14ac:dyDescent="0.3">
      <c r="A29" s="63">
        <v>252</v>
      </c>
      <c r="B29" s="75" t="s">
        <v>51</v>
      </c>
      <c r="C29" s="61">
        <f>+GETPIVOTDATA("ADJBAL",AGTRAXDATA!$F$1,"BRANCH_NUMBER",252,"COMMODITY_CODE","01")/60</f>
        <v>45447.033333333333</v>
      </c>
      <c r="D29" s="61">
        <f>+GETPIVOTDATA("ADJBAL",AGTRAXDATA!$F$1,"BRANCH_NUMBER",252,"COMMODITY_CODE","02")/56</f>
        <v>0</v>
      </c>
      <c r="E29" s="61">
        <f>+GETPIVOTDATA("ADJBAL",AGTRAXDATA!$F$1,"BRANCH_NUMBER",252,"COMMODITY_CODE","04")/56</f>
        <v>244.10714285714286</v>
      </c>
      <c r="F29" s="61">
        <f>+GETPIVOTDATA("ADJBAL",AGTRAXDATA!$F$1,"BRANCH_NUMBER",252,"COMMODITY_CODE","03")/60</f>
        <v>118120.51666666666</v>
      </c>
      <c r="G29" s="61">
        <f>+GETPIVOTDATA("ADJBAL",AGTRAXDATA!$F$1,"BRANCH_NUMBER",252,"COMMODITY_CODE","22")/25</f>
        <v>0</v>
      </c>
      <c r="H29" s="76">
        <v>0</v>
      </c>
      <c r="I29" s="76"/>
      <c r="J29" s="80">
        <f t="shared" si="0"/>
        <v>163811.65714285715</v>
      </c>
      <c r="K29" s="66"/>
      <c r="L29" s="61">
        <f>+GETPIVOTDATA("LBS_UPDATED",SALESCONTRACTS!$E$1,"BRANCH_NUMBER",252,"COMMODITY_CODE","01")/60</f>
        <v>0</v>
      </c>
      <c r="M29" s="61">
        <f>+GETPIVOTDATA("LBS_UPDATED",SALESCONTRACTS!$E$1,"BRANCH_NUMBER",252,"COMMODITY_CODE","02")/56</f>
        <v>0</v>
      </c>
      <c r="N29" s="61">
        <f>+GETPIVOTDATA("LBS_UPDATED",SALESCONTRACTS!$E$1,"BRANCH_NUMBER",252,"COMMODITY_CODE","04")/56</f>
        <v>0</v>
      </c>
      <c r="O29" s="61">
        <f>+GETPIVOTDATA("LBS_UPDATED",SALESCONTRACTS!$E$1,"BRANCH_NUMBER",252,"COMMODITY_CODE","03")/60</f>
        <v>0</v>
      </c>
      <c r="P29" s="61">
        <f>+GETPIVOTDATA("LBS_UPDATED",SALESCONTRACTS!$E$1,"BRANCH_NUMBER",252,"COMMODITY_CODE","22")/25</f>
        <v>0</v>
      </c>
      <c r="Q29" s="66">
        <v>0</v>
      </c>
      <c r="R29" s="66">
        <v>0</v>
      </c>
      <c r="S29" s="66">
        <v>0</v>
      </c>
      <c r="T29" s="66">
        <v>0</v>
      </c>
      <c r="U29" s="85">
        <v>0</v>
      </c>
      <c r="V29" s="85">
        <v>0</v>
      </c>
      <c r="W29" s="82"/>
      <c r="X29" s="80">
        <f t="shared" si="1"/>
        <v>163811.65714285715</v>
      </c>
      <c r="Y29" s="66"/>
      <c r="Z29" s="66">
        <v>235800</v>
      </c>
      <c r="AA29" s="66">
        <v>0</v>
      </c>
      <c r="AB29" s="66">
        <v>0</v>
      </c>
      <c r="AC29" s="122">
        <f t="shared" si="2"/>
        <v>71988.342857142852</v>
      </c>
      <c r="AD29" s="122"/>
      <c r="AE29" s="80">
        <f t="shared" si="3"/>
        <v>71988.342857142852</v>
      </c>
      <c r="AF29" s="66"/>
      <c r="AG29" s="88">
        <v>0</v>
      </c>
      <c r="AH29" s="88">
        <v>0</v>
      </c>
      <c r="AI29" s="91">
        <v>0</v>
      </c>
      <c r="AJ29" s="84">
        <v>0</v>
      </c>
      <c r="AK29" s="82"/>
      <c r="AL29" s="85">
        <v>163000</v>
      </c>
      <c r="AM29" s="84">
        <v>0</v>
      </c>
      <c r="AN29" s="82"/>
      <c r="AO29" s="80">
        <f t="shared" si="4"/>
        <v>-91011.657142857148</v>
      </c>
      <c r="AP29" s="63"/>
      <c r="AQ29" s="93">
        <v>0</v>
      </c>
      <c r="AR29" s="93">
        <v>0</v>
      </c>
      <c r="AS29" s="180">
        <v>0</v>
      </c>
      <c r="AT29" s="180">
        <v>0</v>
      </c>
      <c r="AU29" s="181">
        <v>0</v>
      </c>
      <c r="AV29" s="64">
        <v>90000</v>
      </c>
      <c r="AW29" s="180">
        <v>0</v>
      </c>
      <c r="AX29" s="184">
        <f t="shared" si="8"/>
        <v>90000</v>
      </c>
      <c r="AY29" s="80">
        <f t="shared" si="5"/>
        <v>-1011.6571428571478</v>
      </c>
      <c r="AZ29" s="180">
        <v>0</v>
      </c>
      <c r="BA29" s="181">
        <v>0</v>
      </c>
      <c r="BB29" s="180">
        <v>0</v>
      </c>
      <c r="BC29" s="180">
        <v>0</v>
      </c>
      <c r="BD29" s="94"/>
      <c r="BE29" s="80">
        <f t="shared" si="6"/>
        <v>-1011.6571428571478</v>
      </c>
      <c r="BF29" s="115">
        <v>0</v>
      </c>
      <c r="BG29" s="115">
        <v>0</v>
      </c>
      <c r="BH29" s="7">
        <v>0</v>
      </c>
      <c r="BI29" s="180">
        <v>0</v>
      </c>
      <c r="BJ29" s="115">
        <v>0</v>
      </c>
      <c r="BK29" s="107"/>
      <c r="BL29" s="114">
        <f t="shared" si="7"/>
        <v>-1011.6571428571478</v>
      </c>
    </row>
    <row r="30" spans="1:64" ht="13.8" thickBot="1" x14ac:dyDescent="0.3">
      <c r="A30" s="63">
        <v>262</v>
      </c>
      <c r="B30" s="75" t="s">
        <v>52</v>
      </c>
      <c r="C30" s="61">
        <f>+GETPIVOTDATA("ADJBAL",AGTRAXDATA!$F$1,"BRANCH_NUMBER",262,"COMMODITY_CODE","01")/60</f>
        <v>206879.76666666666</v>
      </c>
      <c r="D30" s="61">
        <f>+GETPIVOTDATA("ADJBAL",AGTRAXDATA!$F$1,"BRANCH_NUMBER",262,"COMMODITY_CODE","02")/56</f>
        <v>0</v>
      </c>
      <c r="E30" s="61">
        <f>+GETPIVOTDATA("ADJBAL",AGTRAXDATA!$F$1,"BRANCH_NUMBER",262,"COMMODITY_CODE","04")/56</f>
        <v>0</v>
      </c>
      <c r="F30" s="61">
        <f>+GETPIVOTDATA("ADJBAL",AGTRAXDATA!$F$1,"BRANCH_NUMBER",262,"COMMODITY_CODE","03")/60</f>
        <v>130542.51666666666</v>
      </c>
      <c r="G30" s="61">
        <f>+GETPIVOTDATA("ADJBAL",AGTRAXDATA!$F$1,"BRANCH_NUMBER",262,"COMMODITY_CODE","22")/25</f>
        <v>0</v>
      </c>
      <c r="H30" s="76">
        <v>0</v>
      </c>
      <c r="I30" s="76"/>
      <c r="J30" s="80">
        <f t="shared" si="0"/>
        <v>337422.28333333333</v>
      </c>
      <c r="K30" s="66"/>
      <c r="L30" s="61">
        <f>+GETPIVOTDATA("LBS_UPDATED",SALESCONTRACTS!$E$1,"BRANCH_NUMBER",262,"COMMODITY_CODE","01")/60</f>
        <v>0</v>
      </c>
      <c r="M30" s="61">
        <f>+GETPIVOTDATA("LBS_UPDATED",SALESCONTRACTS!$E$1,"BRANCH_NUMBER",262,"COMMODITY_CODE","02")/56</f>
        <v>0</v>
      </c>
      <c r="N30" s="61">
        <f>+GETPIVOTDATA("LBS_UPDATED",SALESCONTRACTS!$E$1,"BRANCH_NUMBER",262,"COMMODITY_CODE","04")/56</f>
        <v>0</v>
      </c>
      <c r="O30" s="61">
        <f>+GETPIVOTDATA("LBS_UPDATED",SALESCONTRACTS!$E$1,"BRANCH_NUMBER",262,"COMMODITY_CODE","03")/60</f>
        <v>1183.8499999999999</v>
      </c>
      <c r="P30" s="61">
        <f>+GETPIVOTDATA("LBS_UPDATED",SALESCONTRACTS!$E$1,"BRANCH_NUMBER",262,"COMMODITY_CODE","22")/25</f>
        <v>0</v>
      </c>
      <c r="Q30" s="66">
        <v>0</v>
      </c>
      <c r="R30" s="66">
        <v>0</v>
      </c>
      <c r="S30" s="66">
        <v>0</v>
      </c>
      <c r="T30" s="66">
        <v>0</v>
      </c>
      <c r="U30" s="85">
        <v>0</v>
      </c>
      <c r="V30" s="85">
        <v>0</v>
      </c>
      <c r="W30" s="82"/>
      <c r="X30" s="80">
        <f t="shared" si="1"/>
        <v>336238.43333333335</v>
      </c>
      <c r="Y30" s="66"/>
      <c r="Z30" s="66">
        <v>388800</v>
      </c>
      <c r="AA30" s="66">
        <v>0</v>
      </c>
      <c r="AB30" s="66">
        <v>0</v>
      </c>
      <c r="AC30" s="122">
        <f t="shared" si="2"/>
        <v>51377.716666666674</v>
      </c>
      <c r="AD30" s="122"/>
      <c r="AE30" s="80">
        <f t="shared" si="3"/>
        <v>52561.566666666651</v>
      </c>
      <c r="AF30" s="66"/>
      <c r="AG30" s="88">
        <v>0</v>
      </c>
      <c r="AH30" s="88">
        <v>0</v>
      </c>
      <c r="AI30" s="91">
        <v>0</v>
      </c>
      <c r="AJ30" s="84">
        <v>0</v>
      </c>
      <c r="AK30" s="82"/>
      <c r="AL30" s="85">
        <v>165000</v>
      </c>
      <c r="AM30" s="84">
        <v>0</v>
      </c>
      <c r="AN30" s="82"/>
      <c r="AO30" s="80">
        <f t="shared" si="4"/>
        <v>-112438.43333333335</v>
      </c>
      <c r="AP30" s="63"/>
      <c r="AQ30" s="93">
        <v>0</v>
      </c>
      <c r="AR30" s="93">
        <v>0</v>
      </c>
      <c r="AS30" s="180">
        <v>0</v>
      </c>
      <c r="AT30" s="180">
        <v>0</v>
      </c>
      <c r="AU30" s="181">
        <v>0</v>
      </c>
      <c r="AV30" s="180">
        <v>0</v>
      </c>
      <c r="AW30" s="180">
        <v>0</v>
      </c>
      <c r="AX30" s="184">
        <f t="shared" si="8"/>
        <v>0</v>
      </c>
      <c r="AY30" s="80">
        <f t="shared" si="5"/>
        <v>-112438.43333333335</v>
      </c>
      <c r="AZ30" s="180">
        <v>0</v>
      </c>
      <c r="BA30" s="181">
        <v>0</v>
      </c>
      <c r="BB30" s="180">
        <v>0</v>
      </c>
      <c r="BC30" s="180">
        <v>0</v>
      </c>
      <c r="BD30" s="94"/>
      <c r="BE30" s="80">
        <f t="shared" si="6"/>
        <v>-112438.43333333335</v>
      </c>
      <c r="BF30" s="115">
        <v>0</v>
      </c>
      <c r="BG30" s="115">
        <v>0</v>
      </c>
      <c r="BH30" s="7">
        <v>0</v>
      </c>
      <c r="BI30" s="64">
        <v>115000</v>
      </c>
      <c r="BJ30" s="115">
        <v>0</v>
      </c>
      <c r="BK30" s="107"/>
      <c r="BL30" s="114">
        <f t="shared" si="7"/>
        <v>2561.5666666666511</v>
      </c>
    </row>
    <row r="31" spans="1:64" ht="13.8" thickBot="1" x14ac:dyDescent="0.3">
      <c r="A31" s="63">
        <v>272</v>
      </c>
      <c r="B31" s="75" t="s">
        <v>53</v>
      </c>
      <c r="C31" s="61">
        <f>+GETPIVOTDATA("ADJBAL",AGTRAXDATA!$F$1,"BRANCH_NUMBER",272,"COMMODITY_CODE","01")/60</f>
        <v>213312.83333333334</v>
      </c>
      <c r="D31" s="61">
        <f>+GETPIVOTDATA("ADJBAL",AGTRAXDATA!$F$1,"BRANCH_NUMBER",272,"COMMODITY_CODE","02")/56</f>
        <v>-113.08928571428571</v>
      </c>
      <c r="E31" s="61">
        <f>+GETPIVOTDATA("ADJBAL",AGTRAXDATA!$F$1,"BRANCH_NUMBER",272,"COMMODITY_CODE","04")/56</f>
        <v>316694.64285714284</v>
      </c>
      <c r="F31" s="61">
        <f>+GETPIVOTDATA("ADJBAL",AGTRAXDATA!$F$1,"BRANCH_NUMBER",272,"COMMODITY_CODE","03")/60</f>
        <v>332531.83333333331</v>
      </c>
      <c r="G31" s="61">
        <f>+GETPIVOTDATA("ADJBAL",AGTRAXDATA!$F$1,"BRANCH_NUMBER",272,"COMMODITY_CODE","22")/25</f>
        <v>0</v>
      </c>
      <c r="H31" s="76">
        <v>0</v>
      </c>
      <c r="I31" s="76"/>
      <c r="J31" s="80">
        <f t="shared" si="0"/>
        <v>862426.22023809515</v>
      </c>
      <c r="K31" s="66"/>
      <c r="L31" s="61">
        <f>+GETPIVOTDATA("LBS_UPDATED",SALESCONTRACTS!$E$1,"BRANCH_NUMBER",272,"COMMODITY_CODE","01")/60</f>
        <v>0</v>
      </c>
      <c r="M31" s="61">
        <f>+GETPIVOTDATA("LBS_UPDATED",SALESCONTRACTS!$E$1,"BRANCH_NUMBER",272,"COMMODITY_CODE","02")/56</f>
        <v>0</v>
      </c>
      <c r="N31" s="61">
        <f>+GETPIVOTDATA("LBS_UPDATED",SALESCONTRACTS!$E$1,"BRANCH_NUMBER",272,"COMMODITY_CODE","04")/56</f>
        <v>300</v>
      </c>
      <c r="O31" s="61">
        <f>+GETPIVOTDATA("LBS_UPDATED",SALESCONTRACTS!$E$1,"BRANCH_NUMBER",272,"COMMODITY_CODE","03")/60</f>
        <v>4840.916666666667</v>
      </c>
      <c r="P31" s="61">
        <f>+GETPIVOTDATA("LBS_UPDATED",SALESCONTRACTS!$E$1,"BRANCH_NUMBER",272,"COMMODITY_CODE","22")/25</f>
        <v>0</v>
      </c>
      <c r="Q31" s="66">
        <v>0</v>
      </c>
      <c r="R31" s="66">
        <v>0</v>
      </c>
      <c r="S31" s="66">
        <v>0</v>
      </c>
      <c r="T31" s="66">
        <v>0</v>
      </c>
      <c r="U31" s="85">
        <v>0</v>
      </c>
      <c r="V31" s="85">
        <v>0</v>
      </c>
      <c r="W31" s="82"/>
      <c r="X31" s="80">
        <f t="shared" si="1"/>
        <v>857285.30357142852</v>
      </c>
      <c r="Y31" s="66"/>
      <c r="Z31" s="66">
        <v>760000</v>
      </c>
      <c r="AA31" s="66">
        <v>201600</v>
      </c>
      <c r="AB31" s="66">
        <v>0</v>
      </c>
      <c r="AC31" s="122">
        <f t="shared" si="2"/>
        <v>99173.779761904851</v>
      </c>
      <c r="AD31" s="122"/>
      <c r="AE31" s="80">
        <f t="shared" si="3"/>
        <v>104314.69642857148</v>
      </c>
      <c r="AF31" s="66"/>
      <c r="AG31" s="88">
        <v>0</v>
      </c>
      <c r="AH31" s="88">
        <v>0</v>
      </c>
      <c r="AI31" s="91">
        <v>0</v>
      </c>
      <c r="AJ31" s="84">
        <v>0</v>
      </c>
      <c r="AK31" s="82"/>
      <c r="AL31" s="139">
        <v>100000</v>
      </c>
      <c r="AM31" s="84">
        <v>0</v>
      </c>
      <c r="AN31" s="82"/>
      <c r="AO31" s="80">
        <f t="shared" si="4"/>
        <v>4314.6964285714785</v>
      </c>
      <c r="AP31" s="63"/>
      <c r="AQ31" s="93">
        <v>0</v>
      </c>
      <c r="AR31" s="93">
        <v>0</v>
      </c>
      <c r="AS31" s="180">
        <v>0</v>
      </c>
      <c r="AT31" s="180">
        <v>0</v>
      </c>
      <c r="AU31" s="181">
        <v>0</v>
      </c>
      <c r="AV31" s="180">
        <v>0</v>
      </c>
      <c r="AW31" s="180">
        <v>0</v>
      </c>
      <c r="AX31" s="184">
        <f t="shared" si="8"/>
        <v>0</v>
      </c>
      <c r="AY31" s="80">
        <f t="shared" si="5"/>
        <v>4314.6964285714785</v>
      </c>
      <c r="AZ31" s="180">
        <v>0</v>
      </c>
      <c r="BA31" s="181">
        <v>0</v>
      </c>
      <c r="BB31" s="180">
        <v>0</v>
      </c>
      <c r="BC31" s="180">
        <v>0</v>
      </c>
      <c r="BD31" s="94"/>
      <c r="BE31" s="80">
        <f t="shared" si="6"/>
        <v>4314.6964285714785</v>
      </c>
      <c r="BF31" s="115">
        <v>0</v>
      </c>
      <c r="BG31" s="115">
        <v>0</v>
      </c>
      <c r="BH31" s="7">
        <v>0</v>
      </c>
      <c r="BI31" s="7">
        <v>30000</v>
      </c>
      <c r="BJ31" s="115">
        <v>0</v>
      </c>
      <c r="BK31" s="107"/>
      <c r="BL31" s="114">
        <f t="shared" si="7"/>
        <v>34314.696428571478</v>
      </c>
    </row>
    <row r="32" spans="1:64" ht="13.8" thickBot="1" x14ac:dyDescent="0.3">
      <c r="A32" s="63">
        <v>292</v>
      </c>
      <c r="B32" s="75" t="s">
        <v>55</v>
      </c>
      <c r="C32" s="61">
        <f>+GETPIVOTDATA("ADJBAL",AGTRAXDATA!$F$1,"BRANCH_NUMBER",292,"COMMODITY_CODE","01")/60</f>
        <v>0</v>
      </c>
      <c r="D32" s="61">
        <f>+GETPIVOTDATA("ADJBAL",AGTRAXDATA!$F$1,"BRANCH_NUMBER",292,"COMMODITY_CODE","02")/56</f>
        <v>-162.60714285714286</v>
      </c>
      <c r="E32" s="61">
        <f>+GETPIVOTDATA("ADJBAL",AGTRAXDATA!$F$1,"BRANCH_NUMBER",292,"COMMODITY_CODE","04")/56</f>
        <v>160535.33928571429</v>
      </c>
      <c r="F32" s="61">
        <f>+GETPIVOTDATA("ADJBAL",AGTRAXDATA!$F$1,"BRANCH_NUMBER",292,"COMMODITY_CODE","03")/60</f>
        <v>516871.7</v>
      </c>
      <c r="G32" s="61">
        <f>+GETPIVOTDATA("ADJBAL",AGTRAXDATA!$F$1,"BRANCH_NUMBER",292,"COMMODITY_CODE","22")/25</f>
        <v>0</v>
      </c>
      <c r="H32" s="76">
        <v>0</v>
      </c>
      <c r="I32" s="76"/>
      <c r="J32" s="80">
        <f t="shared" si="0"/>
        <v>677244.43214285723</v>
      </c>
      <c r="K32" s="66"/>
      <c r="L32" s="61">
        <f>+GETPIVOTDATA("LBS_UPDATED",SALESCONTRACTS!$E$1,"BRANCH_NUMBER",292,"COMMODITY_CODE","01")/60</f>
        <v>0</v>
      </c>
      <c r="M32" s="61">
        <f>+GETPIVOTDATA("LBS_UPDATED",SALESCONTRACTS!$E$1,"BRANCH_NUMBER",292,"COMMODITY_CODE","02")/56</f>
        <v>0</v>
      </c>
      <c r="N32" s="61">
        <f>+GETPIVOTDATA("LBS_UPDATED",SALESCONTRACTS!$E$1,"BRANCH_NUMBER",292,"COMMODITY_CODE","04")/56</f>
        <v>25410.357142857141</v>
      </c>
      <c r="O32" s="61">
        <f>+GETPIVOTDATA("LBS_UPDATED",SALESCONTRACTS!$E$1,"BRANCH_NUMBER",292,"COMMODITY_CODE","03")/60</f>
        <v>1.6666666666666666E-2</v>
      </c>
      <c r="P32" s="61">
        <f>+GETPIVOTDATA("LBS_UPDATED",SALESCONTRACTS!$E$1,"BRANCH_NUMBER",292,"COMMODITY_CODE","22")/25</f>
        <v>0</v>
      </c>
      <c r="Q32" s="66">
        <v>0</v>
      </c>
      <c r="R32" s="66">
        <v>0</v>
      </c>
      <c r="S32" s="66">
        <v>0</v>
      </c>
      <c r="T32" s="66">
        <v>0</v>
      </c>
      <c r="U32" s="85">
        <v>0</v>
      </c>
      <c r="V32" s="85">
        <v>0</v>
      </c>
      <c r="W32" s="82"/>
      <c r="X32" s="80">
        <f t="shared" si="1"/>
        <v>651834.05833333335</v>
      </c>
      <c r="Y32" s="66"/>
      <c r="Z32" s="66">
        <v>900000</v>
      </c>
      <c r="AA32" s="66">
        <v>0</v>
      </c>
      <c r="AB32" s="66">
        <v>0</v>
      </c>
      <c r="AC32" s="122">
        <f t="shared" si="2"/>
        <v>222755.56785714277</v>
      </c>
      <c r="AD32" s="122"/>
      <c r="AE32" s="80">
        <f t="shared" si="3"/>
        <v>248165.94166666665</v>
      </c>
      <c r="AF32" s="66"/>
      <c r="AG32" s="88">
        <v>0</v>
      </c>
      <c r="AH32" s="88">
        <v>0</v>
      </c>
      <c r="AI32" s="91">
        <v>0</v>
      </c>
      <c r="AJ32" s="84">
        <v>0</v>
      </c>
      <c r="AK32" s="82"/>
      <c r="AL32" s="138">
        <v>200000</v>
      </c>
      <c r="AM32" s="84">
        <v>0</v>
      </c>
      <c r="AN32" s="82"/>
      <c r="AO32" s="80">
        <f t="shared" si="4"/>
        <v>48165.941666666651</v>
      </c>
      <c r="AP32" s="63"/>
      <c r="AQ32" s="93">
        <v>0</v>
      </c>
      <c r="AR32" s="93">
        <v>0</v>
      </c>
      <c r="AS32" s="180">
        <v>0</v>
      </c>
      <c r="AT32" s="180">
        <v>0</v>
      </c>
      <c r="AU32" s="181">
        <v>0</v>
      </c>
      <c r="AV32" s="180">
        <v>0</v>
      </c>
      <c r="AW32" s="180">
        <v>0</v>
      </c>
      <c r="AX32" s="184">
        <f t="shared" si="8"/>
        <v>0</v>
      </c>
      <c r="AY32" s="80">
        <f t="shared" si="5"/>
        <v>48165.941666666651</v>
      </c>
      <c r="AZ32" s="180">
        <v>0</v>
      </c>
      <c r="BA32" s="181">
        <v>0</v>
      </c>
      <c r="BB32" s="64">
        <v>136000</v>
      </c>
      <c r="BC32" s="180">
        <v>0</v>
      </c>
      <c r="BD32" s="94"/>
      <c r="BE32" s="80">
        <f t="shared" si="6"/>
        <v>184165.94166666665</v>
      </c>
      <c r="BF32" s="115">
        <v>0</v>
      </c>
      <c r="BG32" s="115">
        <v>0</v>
      </c>
      <c r="BH32" s="7">
        <v>0</v>
      </c>
      <c r="BI32" s="115">
        <v>0</v>
      </c>
      <c r="BJ32" s="115">
        <v>0</v>
      </c>
      <c r="BK32" s="107"/>
      <c r="BL32" s="114">
        <f t="shared" si="7"/>
        <v>184165.94166666665</v>
      </c>
    </row>
    <row r="33" spans="1:64" ht="13.8" thickBot="1" x14ac:dyDescent="0.3">
      <c r="A33" s="63">
        <v>291</v>
      </c>
      <c r="B33" s="75" t="s">
        <v>192</v>
      </c>
      <c r="C33" s="61">
        <f>+GETPIVOTDATA("ADJBAL",AGTRAXDATA!$F$1,"BRANCH_NUMBER",291,"COMMODITY_CODE","01")/60</f>
        <v>0</v>
      </c>
      <c r="D33" s="61">
        <f>+GETPIVOTDATA("ADJBAL",AGTRAXDATA!$F$1,"BRANCH_NUMBER",291,"COMMODITY_CODE","02")/56</f>
        <v>0</v>
      </c>
      <c r="E33" s="61">
        <f>+GETPIVOTDATA("ADJBAL",AGTRAXDATA!$F$1,"BRANCH_NUMBER",291,"COMMODITY_CODE","04")/56</f>
        <v>320573.60714285716</v>
      </c>
      <c r="F33" s="61">
        <f>+GETPIVOTDATA("ADJBAL",AGTRAXDATA!$F$1,"BRANCH_NUMBER",291,"COMMODITY_CODE","03")/60</f>
        <v>0</v>
      </c>
      <c r="G33" s="61">
        <f>+GETPIVOTDATA("ADJBAL",AGTRAXDATA!$F$1,"BRANCH_NUMBER",292,"COMMODITY_CODE","22")/25</f>
        <v>0</v>
      </c>
      <c r="H33" s="76">
        <v>0</v>
      </c>
      <c r="I33" s="76"/>
      <c r="J33" s="80">
        <f t="shared" si="0"/>
        <v>320573.60714285716</v>
      </c>
      <c r="K33" s="66"/>
      <c r="L33" s="61">
        <f>+GETPIVOTDATA("LBS_UPDATED",SALESCONTRACTS!$E$1,"BRANCH_NUMBER",291,"COMMODITY_CODE","01")/60</f>
        <v>0</v>
      </c>
      <c r="M33" s="61">
        <f>+GETPIVOTDATA("LBS_UPDATED",SALESCONTRACTS!$E$1,"BRANCH_NUMBER",291,"COMMODITY_CODE","02")/56</f>
        <v>0</v>
      </c>
      <c r="N33" s="61">
        <f>+GETPIVOTDATA("LBS_UPDATED",SALESCONTRACTS!$E$1,"BRANCH_NUMBER",291,"COMMODITY_CODE","04")/56</f>
        <v>0</v>
      </c>
      <c r="O33" s="61">
        <f>+GETPIVOTDATA("LBS_UPDATED",SALESCONTRACTS!$E$1,"BRANCH_NUMBER",291,"COMMODITY_CODE","03")/60</f>
        <v>0</v>
      </c>
      <c r="P33" s="61">
        <f>+GETPIVOTDATA("LBS_UPDATED",SALESCONTRACTS!$E$1,"BRANCH_NUMBER",291,"COMMODITY_CODE","22")/25</f>
        <v>0</v>
      </c>
      <c r="Q33" s="66">
        <v>0</v>
      </c>
      <c r="R33" s="66">
        <v>0</v>
      </c>
      <c r="S33" s="66">
        <v>0</v>
      </c>
      <c r="T33" s="66">
        <v>0</v>
      </c>
      <c r="U33" s="85">
        <v>0</v>
      </c>
      <c r="V33" s="85">
        <v>0</v>
      </c>
      <c r="W33" s="82"/>
      <c r="X33" s="80">
        <f t="shared" si="1"/>
        <v>320573.60714285716</v>
      </c>
      <c r="Y33" s="66"/>
      <c r="Z33" s="66">
        <v>500000</v>
      </c>
      <c r="AA33" s="66">
        <v>0</v>
      </c>
      <c r="AB33" s="66">
        <v>0</v>
      </c>
      <c r="AC33" s="122">
        <f t="shared" si="2"/>
        <v>179426.39285714284</v>
      </c>
      <c r="AD33" s="122"/>
      <c r="AE33" s="80">
        <f t="shared" si="3"/>
        <v>179426.39285714284</v>
      </c>
      <c r="AF33" s="66"/>
      <c r="AG33" s="88">
        <v>0</v>
      </c>
      <c r="AH33" s="88">
        <v>0</v>
      </c>
      <c r="AI33" s="91">
        <v>0</v>
      </c>
      <c r="AJ33" s="84">
        <v>0</v>
      </c>
      <c r="AK33" s="82"/>
      <c r="AL33" s="85">
        <v>0</v>
      </c>
      <c r="AM33" s="84">
        <v>0</v>
      </c>
      <c r="AN33" s="82"/>
      <c r="AO33" s="80">
        <f t="shared" si="4"/>
        <v>179426.39285714284</v>
      </c>
      <c r="AP33" s="63"/>
      <c r="AQ33" s="93">
        <v>0</v>
      </c>
      <c r="AR33" s="93">
        <v>0</v>
      </c>
      <c r="AS33" s="180">
        <v>0</v>
      </c>
      <c r="AT33" s="180">
        <v>0</v>
      </c>
      <c r="AU33" s="181">
        <v>0</v>
      </c>
      <c r="AV33" s="180">
        <v>0</v>
      </c>
      <c r="AW33" s="180">
        <v>0</v>
      </c>
      <c r="AX33" s="184">
        <f t="shared" si="8"/>
        <v>0</v>
      </c>
      <c r="AY33" s="80">
        <f t="shared" si="5"/>
        <v>179426.39285714284</v>
      </c>
      <c r="AZ33" s="180">
        <v>0</v>
      </c>
      <c r="BA33" s="181">
        <v>0</v>
      </c>
      <c r="BB33" s="64">
        <v>321000</v>
      </c>
      <c r="BC33" s="180">
        <v>0</v>
      </c>
      <c r="BD33" s="94"/>
      <c r="BE33" s="80">
        <f t="shared" si="6"/>
        <v>500426.39285714284</v>
      </c>
      <c r="BF33" s="115">
        <v>0</v>
      </c>
      <c r="BG33" s="115">
        <v>0</v>
      </c>
      <c r="BH33" s="7">
        <v>0</v>
      </c>
      <c r="BI33" s="115">
        <v>0</v>
      </c>
      <c r="BJ33" s="115">
        <v>0</v>
      </c>
      <c r="BK33" s="107"/>
      <c r="BL33" s="114">
        <f t="shared" si="7"/>
        <v>500426.39285714284</v>
      </c>
    </row>
    <row r="34" spans="1:64" ht="13.8" thickBot="1" x14ac:dyDescent="0.3">
      <c r="A34" s="63">
        <v>187</v>
      </c>
      <c r="B34" s="75" t="s">
        <v>177</v>
      </c>
      <c r="C34" s="61">
        <f>+GETPIVOTDATA("ADJBAL",AGTRAXDATA!$F$1,"BRANCH_NUMBER",187,"COMMODITY_CODE","01")/60</f>
        <v>2365.9499999999998</v>
      </c>
      <c r="D34" s="61">
        <f>+GETPIVOTDATA("ADJBAL",AGTRAXDATA!$F$1,"BRANCH_NUMBER",187,"COMMODITY_CODE","02")/56</f>
        <v>230643.51785714287</v>
      </c>
      <c r="E34" s="61">
        <f>+GETPIVOTDATA("ADJBAL",AGTRAXDATA!$F$1,"BRANCH_NUMBER",187,"COMMODITY_CODE","04")/56</f>
        <v>312316.39285714284</v>
      </c>
      <c r="F34" s="61">
        <f>+GETPIVOTDATA("ADJBAL",AGTRAXDATA!$F$1,"BRANCH_NUMBER",187,"COMMODITY_CODE","03")/60</f>
        <v>190089.18333333332</v>
      </c>
      <c r="G34" s="61">
        <f>+GETPIVOTDATA("ADJBAL",AGTRAXDATA!$F$1,"BRANCH_NUMBER",187,"COMMODITY_CODE","22")/25</f>
        <v>0</v>
      </c>
      <c r="H34" s="76">
        <v>0</v>
      </c>
      <c r="I34" s="76"/>
      <c r="J34" s="80">
        <f t="shared" ref="J34:J65" si="9">SUM(C34:H34)</f>
        <v>735415.0440476191</v>
      </c>
      <c r="K34" s="66"/>
      <c r="L34" s="61">
        <f>+GETPIVOTDATA("LBS_UPDATED",SALESCONTRACTS!$E$1,"BRANCH_NUMBER",187,"COMMODITY_CODE","01")/60</f>
        <v>0</v>
      </c>
      <c r="M34" s="61">
        <f>+GETPIVOTDATA("LBS_UPDATED",SALESCONTRACTS!$E$1,"BRANCH_NUMBER",187,"COMMODITY_CODE","02")/56</f>
        <v>0</v>
      </c>
      <c r="N34" s="61">
        <f>+GETPIVOTDATA("LBS_UPDATED",SALESCONTRACTS!$E$1,"BRANCH_NUMBER",187,"COMMODITY_CODE","04")/56</f>
        <v>0</v>
      </c>
      <c r="O34" s="61">
        <f>+GETPIVOTDATA("LBS_UPDATED",SALESCONTRACTS!$E$1,"BRANCH_NUMBER",291,"COMMODITY_CODE","03")/60</f>
        <v>0</v>
      </c>
      <c r="P34" s="61">
        <f>+GETPIVOTDATA("LBS_UPDATED",SALESCONTRACTS!$E$1,"BRANCH_NUMBER",291,"COMMODITY_CODE","22")/25</f>
        <v>0</v>
      </c>
      <c r="Q34" s="66">
        <v>0</v>
      </c>
      <c r="R34" s="66">
        <v>0</v>
      </c>
      <c r="S34" s="66">
        <v>0</v>
      </c>
      <c r="T34" s="66">
        <v>0</v>
      </c>
      <c r="U34" s="85">
        <v>0</v>
      </c>
      <c r="V34" s="85">
        <v>0</v>
      </c>
      <c r="W34" s="82"/>
      <c r="X34" s="80">
        <f t="shared" ref="X34:X65" si="10">J34-L34-M34-N34-O34-P34-Q34-R34-S34-T34-U34-V34</f>
        <v>735415.0440476191</v>
      </c>
      <c r="Y34" s="66"/>
      <c r="Z34" s="66">
        <v>900000</v>
      </c>
      <c r="AA34" s="66">
        <v>0</v>
      </c>
      <c r="AB34" s="66">
        <v>0</v>
      </c>
      <c r="AC34" s="122">
        <f t="shared" ref="AC34:AC65" si="11">SUM(Z34:AB34)-J34</f>
        <v>164584.9559523809</v>
      </c>
      <c r="AD34" s="122"/>
      <c r="AE34" s="80">
        <f t="shared" ref="AE34:AE65" si="12">Z34+AA34-X34</f>
        <v>164584.9559523809</v>
      </c>
      <c r="AF34" s="66"/>
      <c r="AG34" s="88">
        <v>0</v>
      </c>
      <c r="AH34" s="88">
        <v>0</v>
      </c>
      <c r="AI34" s="91">
        <v>0</v>
      </c>
      <c r="AJ34" s="84">
        <v>0</v>
      </c>
      <c r="AK34" s="82"/>
      <c r="AL34" s="138">
        <v>0</v>
      </c>
      <c r="AM34" s="84">
        <v>0</v>
      </c>
      <c r="AN34" s="82"/>
      <c r="AO34" s="80">
        <f t="shared" ref="AO34:AO65" si="13">AE34-AG34-AH34-AI34-AJ34-AL34-AM34</f>
        <v>164584.9559523809</v>
      </c>
      <c r="AP34" s="63"/>
      <c r="AQ34" s="93">
        <v>0</v>
      </c>
      <c r="AR34" s="93">
        <v>0</v>
      </c>
      <c r="AS34" s="180">
        <v>0</v>
      </c>
      <c r="AT34" s="180">
        <v>0</v>
      </c>
      <c r="AU34" s="181">
        <v>0</v>
      </c>
      <c r="AV34" s="180">
        <v>0</v>
      </c>
      <c r="AW34" s="180">
        <v>0</v>
      </c>
      <c r="AX34" s="184">
        <f t="shared" si="8"/>
        <v>0</v>
      </c>
      <c r="AY34" s="80">
        <f t="shared" ref="AY34:AY65" si="14">SUM(AO34:AW34)</f>
        <v>164584.9559523809</v>
      </c>
      <c r="AZ34" s="180">
        <v>0</v>
      </c>
      <c r="BA34" s="181">
        <v>0</v>
      </c>
      <c r="BB34" s="180">
        <v>0</v>
      </c>
      <c r="BC34" s="180">
        <v>0</v>
      </c>
      <c r="BD34" s="94"/>
      <c r="BE34" s="80">
        <f t="shared" ref="BE34:BE65" si="15">SUM(AY34:BC34)</f>
        <v>164584.9559523809</v>
      </c>
      <c r="BF34" s="115">
        <v>0</v>
      </c>
      <c r="BG34" s="115">
        <v>0</v>
      </c>
      <c r="BH34" s="7">
        <v>0</v>
      </c>
      <c r="BI34" s="115">
        <v>0</v>
      </c>
      <c r="BJ34" s="115">
        <v>0</v>
      </c>
      <c r="BK34" s="107"/>
      <c r="BL34" s="114">
        <f t="shared" ref="BL34:BL65" si="16">SUM(BE34:BJ34)</f>
        <v>164584.9559523809</v>
      </c>
    </row>
    <row r="35" spans="1:64" ht="13.8" thickBot="1" x14ac:dyDescent="0.3">
      <c r="A35" s="63">
        <v>188</v>
      </c>
      <c r="B35" s="75" t="s">
        <v>189</v>
      </c>
      <c r="C35" s="61">
        <f>+GETPIVOTDATA("ADJBAL",AGTRAXDATA!$F$1,"BRANCH_NUMBER",188,"COMMODITY_CODE","01")/60</f>
        <v>0</v>
      </c>
      <c r="D35" s="61">
        <f>+GETPIVOTDATA("ADJBAL",AGTRAXDATA!$F$1,"BRANCH_NUMBER",188,"COMMODITY_CODE","02")/56</f>
        <v>0</v>
      </c>
      <c r="E35" s="61">
        <f>+GETPIVOTDATA("ADJBAL",AGTRAXDATA!$F$1,"BRANCH_NUMBER",188,"COMMODITY_CODE","04")/56</f>
        <v>909618.03571428568</v>
      </c>
      <c r="F35" s="61">
        <f>+GETPIVOTDATA("ADJBAL",AGTRAXDATA!$F$1,"BRANCH_NUMBER",188,"COMMODITY_CODE","03")/60</f>
        <v>0</v>
      </c>
      <c r="G35" s="61">
        <f>+GETPIVOTDATA("ADJBAL",AGTRAXDATA!$F$1,"BRANCH_NUMBER",188,"COMMODITY_CODE","22")/25</f>
        <v>0</v>
      </c>
      <c r="H35" s="76">
        <v>0</v>
      </c>
      <c r="I35" s="76"/>
      <c r="J35" s="80">
        <f t="shared" si="9"/>
        <v>909618.03571428568</v>
      </c>
      <c r="K35" s="66"/>
      <c r="L35" s="61">
        <v>0</v>
      </c>
      <c r="M35" s="61">
        <v>0</v>
      </c>
      <c r="N35" s="61">
        <f>+GETPIVOTDATA("LBS_UPDATED",SALESCONTRACTS!$E$1,"BRANCH_NUMBER",187,"COMMODITY_CODE","04")/56</f>
        <v>0</v>
      </c>
      <c r="O35" s="61">
        <f>+GETPIVOTDATA("LBS_UPDATED",SALESCONTRACTS!$E$1,"BRANCH_NUMBER",291,"COMMODITY_CODE","03")/60</f>
        <v>0</v>
      </c>
      <c r="P35" s="61">
        <f>+GETPIVOTDATA("LBS_UPDATED",SALESCONTRACTS!$E$1,"BRANCH_NUMBER",291,"COMMODITY_CODE","22")/25</f>
        <v>0</v>
      </c>
      <c r="Q35" s="66">
        <v>0</v>
      </c>
      <c r="R35" s="66">
        <v>0</v>
      </c>
      <c r="S35" s="66">
        <v>0</v>
      </c>
      <c r="T35" s="66">
        <v>0</v>
      </c>
      <c r="U35" s="85">
        <v>0</v>
      </c>
      <c r="V35" s="85">
        <v>0</v>
      </c>
      <c r="W35" s="82"/>
      <c r="X35" s="80">
        <f t="shared" si="10"/>
        <v>909618.03571428568</v>
      </c>
      <c r="Y35" s="66"/>
      <c r="Z35" s="66">
        <v>0</v>
      </c>
      <c r="AA35" s="66">
        <v>900000</v>
      </c>
      <c r="AB35" s="66">
        <v>0</v>
      </c>
      <c r="AC35" s="122">
        <f t="shared" si="11"/>
        <v>-9618.035714285681</v>
      </c>
      <c r="AD35" s="122"/>
      <c r="AE35" s="80">
        <f t="shared" si="12"/>
        <v>-9618.035714285681</v>
      </c>
      <c r="AF35" s="66"/>
      <c r="AG35" s="88">
        <v>0</v>
      </c>
      <c r="AH35" s="88">
        <v>0</v>
      </c>
      <c r="AI35" s="91">
        <v>0</v>
      </c>
      <c r="AJ35" s="84">
        <v>0</v>
      </c>
      <c r="AK35" s="82"/>
      <c r="AL35" s="138">
        <v>500000</v>
      </c>
      <c r="AM35" s="84">
        <v>0</v>
      </c>
      <c r="AN35" s="82"/>
      <c r="AO35" s="80">
        <f t="shared" si="13"/>
        <v>-509618.03571428568</v>
      </c>
      <c r="AP35" s="63"/>
      <c r="AQ35" s="93">
        <v>0</v>
      </c>
      <c r="AR35" s="93">
        <v>0</v>
      </c>
      <c r="AS35" s="180">
        <v>0</v>
      </c>
      <c r="AT35" s="180">
        <v>0</v>
      </c>
      <c r="AU35" s="64">
        <v>400000</v>
      </c>
      <c r="AV35" s="180">
        <v>0</v>
      </c>
      <c r="AW35" s="180">
        <v>0</v>
      </c>
      <c r="AX35" s="184">
        <f t="shared" si="8"/>
        <v>400000</v>
      </c>
      <c r="AY35" s="80">
        <f t="shared" si="14"/>
        <v>-109618.03571428568</v>
      </c>
      <c r="AZ35" s="180">
        <v>0</v>
      </c>
      <c r="BA35" s="181">
        <v>0</v>
      </c>
      <c r="BB35" s="180">
        <v>0</v>
      </c>
      <c r="BC35" s="180">
        <v>0</v>
      </c>
      <c r="BD35" s="94"/>
      <c r="BE35" s="80">
        <f t="shared" si="15"/>
        <v>-109618.03571428568</v>
      </c>
      <c r="BF35" s="115">
        <v>0</v>
      </c>
      <c r="BG35" s="115">
        <v>0</v>
      </c>
      <c r="BH35" s="7">
        <v>510000</v>
      </c>
      <c r="BI35" s="115">
        <v>0</v>
      </c>
      <c r="BJ35" s="115">
        <v>0</v>
      </c>
      <c r="BK35" s="107"/>
      <c r="BL35" s="114">
        <f t="shared" si="16"/>
        <v>400381.96428571432</v>
      </c>
    </row>
    <row r="36" spans="1:64" ht="13.8" thickBot="1" x14ac:dyDescent="0.3">
      <c r="A36" s="63">
        <v>295</v>
      </c>
      <c r="B36" s="75" t="s">
        <v>178</v>
      </c>
      <c r="C36" s="61">
        <f>+GETPIVOTDATA("ADJBAL",AGTRAXDATA!$F$1,"BRANCH_NUMBER",295,"COMMODITY_CODE","01")/60</f>
        <v>66763.199999999997</v>
      </c>
      <c r="D36" s="61">
        <f>+GETPIVOTDATA("ADJBAL",AGTRAXDATA!$F$1,"BRANCH_NUMBER",295,"COMMODITY_CODE","02")/56</f>
        <v>44784.375</v>
      </c>
      <c r="E36" s="61">
        <f>+GETPIVOTDATA("ADJBAL",AGTRAXDATA!$F$1,"BRANCH_NUMBER",295,"COMMODITY_CODE","04")/56</f>
        <v>694456.14285714284</v>
      </c>
      <c r="F36" s="61">
        <f>+GETPIVOTDATA("ADJBAL",AGTRAXDATA!$F$1,"BRANCH_NUMBER",295,"COMMODITY_CODE","03")/60</f>
        <v>411688.05</v>
      </c>
      <c r="G36" s="61">
        <f>+GETPIVOTDATA("ADJBAL",AGTRAXDATA!$F$1,"BRANCH_NUMBER",295,"COMMODITY_CODE","22")/25</f>
        <v>0</v>
      </c>
      <c r="H36" s="76">
        <v>0</v>
      </c>
      <c r="I36" s="76"/>
      <c r="J36" s="80">
        <f t="shared" si="9"/>
        <v>1217691.7678571427</v>
      </c>
      <c r="K36" s="66"/>
      <c r="L36" s="61">
        <f>+GETPIVOTDATA("LBS_UPDATED",SALESCONTRACTS!$E$1,"BRANCH_NUMBER",295,"COMMODITY_CODE","01")/60</f>
        <v>0</v>
      </c>
      <c r="M36" s="61">
        <f>+GETPIVOTDATA("LBS_UPDATED",SALESCONTRACTS!$E$1,"BRANCH_NUMBER",295,"COMMODITY_CODE","02")/56</f>
        <v>283.92857142857144</v>
      </c>
      <c r="N36" s="61">
        <f>+GETPIVOTDATA("LBS_UPDATED",SALESCONTRACTS!$E$1,"BRANCH_NUMBER",295,"COMMODITY_CODE","04")/56</f>
        <v>0</v>
      </c>
      <c r="O36" s="61">
        <f>+GETPIVOTDATA("LBS_UPDATED",SALESCONTRACTS!$E$1,"BRANCH_NUMBER",291,"COMMODITY_CODE","03")/60</f>
        <v>0</v>
      </c>
      <c r="P36" s="61">
        <f>+GETPIVOTDATA("LBS_UPDATED",SALESCONTRACTS!$E$1,"BRANCH_NUMBER",291,"COMMODITY_CODE","22")/25</f>
        <v>0</v>
      </c>
      <c r="Q36" s="66">
        <v>0</v>
      </c>
      <c r="R36" s="66">
        <v>0</v>
      </c>
      <c r="S36" s="66">
        <v>0</v>
      </c>
      <c r="T36" s="66">
        <v>0</v>
      </c>
      <c r="U36" s="85">
        <v>0</v>
      </c>
      <c r="V36" s="85">
        <v>0</v>
      </c>
      <c r="W36" s="82"/>
      <c r="X36" s="80">
        <f t="shared" si="10"/>
        <v>1217407.8392857141</v>
      </c>
      <c r="Y36" s="66"/>
      <c r="Z36" s="66">
        <v>1137000</v>
      </c>
      <c r="AA36" s="66">
        <v>130000</v>
      </c>
      <c r="AB36" s="66">
        <v>0</v>
      </c>
      <c r="AC36" s="122">
        <f t="shared" si="11"/>
        <v>49308.232142857276</v>
      </c>
      <c r="AD36" s="122"/>
      <c r="AE36" s="80">
        <f t="shared" si="12"/>
        <v>49592.160714285914</v>
      </c>
      <c r="AF36" s="66"/>
      <c r="AG36" s="88">
        <v>0</v>
      </c>
      <c r="AH36" s="88">
        <v>0</v>
      </c>
      <c r="AI36" s="91">
        <v>0</v>
      </c>
      <c r="AJ36" s="84">
        <v>0</v>
      </c>
      <c r="AK36" s="82"/>
      <c r="AL36" s="85">
        <v>48000</v>
      </c>
      <c r="AM36" s="84">
        <v>0</v>
      </c>
      <c r="AN36" s="82"/>
      <c r="AO36" s="80">
        <f t="shared" si="13"/>
        <v>1592.1607142859139</v>
      </c>
      <c r="AP36" s="63"/>
      <c r="AQ36" s="93">
        <v>0</v>
      </c>
      <c r="AR36" s="93">
        <v>0</v>
      </c>
      <c r="AS36" s="180">
        <v>0</v>
      </c>
      <c r="AT36" s="180">
        <v>0</v>
      </c>
      <c r="AU36" s="180">
        <v>0</v>
      </c>
      <c r="AV36" s="180">
        <v>0</v>
      </c>
      <c r="AW36" s="180">
        <v>0</v>
      </c>
      <c r="AX36" s="184">
        <f t="shared" si="8"/>
        <v>0</v>
      </c>
      <c r="AY36" s="80">
        <f t="shared" si="14"/>
        <v>1592.1607142859139</v>
      </c>
      <c r="AZ36" s="180">
        <v>0</v>
      </c>
      <c r="BA36" s="181">
        <v>0</v>
      </c>
      <c r="BB36" s="180">
        <v>0</v>
      </c>
      <c r="BC36" s="180">
        <v>0</v>
      </c>
      <c r="BD36" s="94"/>
      <c r="BE36" s="80">
        <f t="shared" si="15"/>
        <v>1592.1607142859139</v>
      </c>
      <c r="BF36" s="115">
        <v>0</v>
      </c>
      <c r="BG36" s="115">
        <v>0</v>
      </c>
      <c r="BH36" s="7">
        <v>0</v>
      </c>
      <c r="BI36" s="115">
        <v>0</v>
      </c>
      <c r="BJ36" s="115">
        <v>0</v>
      </c>
      <c r="BK36" s="107"/>
      <c r="BL36" s="114">
        <f t="shared" si="16"/>
        <v>1592.1607142859139</v>
      </c>
    </row>
    <row r="37" spans="1:64" ht="13.8" thickBot="1" x14ac:dyDescent="0.3">
      <c r="A37" s="63">
        <v>294</v>
      </c>
      <c r="B37" s="75" t="s">
        <v>179</v>
      </c>
      <c r="C37" s="61">
        <f>+GETPIVOTDATA("ADJBAL",AGTRAXDATA!$F$1,"BRANCH_NUMBER",294,"COMMODITY_CODE","01")/60</f>
        <v>145638.15</v>
      </c>
      <c r="D37" s="61">
        <f>+GETPIVOTDATA("ADJBAL",AGTRAXDATA!$F$1,"BRANCH_NUMBER",294,"COMMODITY_CODE","02")/56</f>
        <v>853.05357142857144</v>
      </c>
      <c r="E37" s="61">
        <f>+GETPIVOTDATA("ADJBAL",AGTRAXDATA!$F$1,"BRANCH_NUMBER",294,"COMMODITY_CODE","04")/56</f>
        <v>77617.53571428571</v>
      </c>
      <c r="F37" s="61">
        <f>+GETPIVOTDATA("ADJBAL",AGTRAXDATA!$F$1,"BRANCH_NUMBER",294,"COMMODITY_CODE","03")/60</f>
        <v>318681.56666666665</v>
      </c>
      <c r="G37" s="61">
        <f>+GETPIVOTDATA("ADJBAL",AGTRAXDATA!$F$1,"BRANCH_NUMBER",294,"COMMODITY_CODE","22")/25</f>
        <v>0</v>
      </c>
      <c r="H37" s="76">
        <v>0</v>
      </c>
      <c r="I37" s="76"/>
      <c r="J37" s="80">
        <f t="shared" si="9"/>
        <v>542790.30595238088</v>
      </c>
      <c r="K37" s="66"/>
      <c r="L37" s="61">
        <f>+GETPIVOTDATA("LBS_UPDATED",SALESCONTRACTS!$E$1,"BRANCH_NUMBER",294,"COMMODITY_CODE","01")/60</f>
        <v>0</v>
      </c>
      <c r="M37" s="61">
        <f>+GETPIVOTDATA("LBS_UPDATED",SALESCONTRACTS!$E$1,"BRANCH_NUMBER",294,"COMMODITY_CODE","02")/56</f>
        <v>0</v>
      </c>
      <c r="N37" s="61">
        <f>+GETPIVOTDATA("LBS_UPDATED",SALESCONTRACTS!$E$1,"BRANCH_NUMBER",294,"COMMODITY_CODE","04")/56</f>
        <v>621.07142857142856</v>
      </c>
      <c r="O37" s="61">
        <f>+GETPIVOTDATA("LBS_UPDATED",SALESCONTRACTS!$E$1,"BRANCH_NUMBER",294,"COMMODITY_CODE","03")/60</f>
        <v>0</v>
      </c>
      <c r="P37" s="61">
        <f>+GETPIVOTDATA("LBS_UPDATED",SALESCONTRACTS!$E$1,"BRANCH_NUMBER",294,"COMMODITY_CODE","22")/25</f>
        <v>0</v>
      </c>
      <c r="Q37" s="66">
        <v>0</v>
      </c>
      <c r="R37" s="66">
        <v>0</v>
      </c>
      <c r="S37" s="66">
        <v>0</v>
      </c>
      <c r="T37" s="66">
        <v>0</v>
      </c>
      <c r="U37" s="85">
        <v>0</v>
      </c>
      <c r="V37" s="85">
        <v>0</v>
      </c>
      <c r="W37" s="82"/>
      <c r="X37" s="80">
        <f t="shared" si="10"/>
        <v>542169.2345238094</v>
      </c>
      <c r="Y37" s="66"/>
      <c r="Z37" s="66">
        <v>675000</v>
      </c>
      <c r="AA37" s="66">
        <v>0</v>
      </c>
      <c r="AB37" s="66">
        <v>0</v>
      </c>
      <c r="AC37" s="122">
        <f t="shared" si="11"/>
        <v>132209.69404761912</v>
      </c>
      <c r="AD37" s="122"/>
      <c r="AE37" s="80">
        <f t="shared" si="12"/>
        <v>132830.7654761906</v>
      </c>
      <c r="AF37" s="66"/>
      <c r="AG37" s="88">
        <v>0</v>
      </c>
      <c r="AH37" s="88">
        <v>0</v>
      </c>
      <c r="AI37" s="91">
        <v>0</v>
      </c>
      <c r="AJ37" s="84">
        <v>0</v>
      </c>
      <c r="AK37" s="82"/>
      <c r="AL37" s="138">
        <v>65000</v>
      </c>
      <c r="AM37" s="84">
        <v>0</v>
      </c>
      <c r="AN37" s="82"/>
      <c r="AO37" s="80">
        <f t="shared" si="13"/>
        <v>67830.765476190601</v>
      </c>
      <c r="AP37" s="63"/>
      <c r="AQ37" s="93">
        <v>0</v>
      </c>
      <c r="AR37" s="93">
        <v>0</v>
      </c>
      <c r="AS37" s="180">
        <v>0</v>
      </c>
      <c r="AT37" s="180">
        <v>0</v>
      </c>
      <c r="AU37" s="180">
        <v>0</v>
      </c>
      <c r="AV37" s="180">
        <v>0</v>
      </c>
      <c r="AW37" s="180">
        <v>0</v>
      </c>
      <c r="AX37" s="184">
        <f t="shared" si="8"/>
        <v>0</v>
      </c>
      <c r="AY37" s="80">
        <f t="shared" si="14"/>
        <v>67830.765476190601</v>
      </c>
      <c r="AZ37" s="180">
        <v>0</v>
      </c>
      <c r="BA37" s="181">
        <v>0</v>
      </c>
      <c r="BB37" s="180">
        <v>0</v>
      </c>
      <c r="BC37" s="180">
        <v>0</v>
      </c>
      <c r="BD37" s="94"/>
      <c r="BE37" s="80">
        <f t="shared" si="15"/>
        <v>67830.765476190601</v>
      </c>
      <c r="BF37" s="115">
        <v>0</v>
      </c>
      <c r="BG37" s="115">
        <v>0</v>
      </c>
      <c r="BH37" s="7">
        <v>0</v>
      </c>
      <c r="BI37" s="115">
        <v>0</v>
      </c>
      <c r="BJ37" s="115">
        <v>0</v>
      </c>
      <c r="BK37" s="107"/>
      <c r="BL37" s="114">
        <f t="shared" si="16"/>
        <v>67830.765476190601</v>
      </c>
    </row>
    <row r="38" spans="1:64" ht="13.8" thickBot="1" x14ac:dyDescent="0.3">
      <c r="A38" s="63">
        <v>296</v>
      </c>
      <c r="B38" s="75" t="s">
        <v>184</v>
      </c>
      <c r="C38" s="61">
        <f>+GETPIVOTDATA("ADJBAL",AGTRAXDATA!$F$1,"BRANCH_NUMBER",296,"COMMODITY_CODE","01")/60</f>
        <v>0</v>
      </c>
      <c r="D38" s="61">
        <f>+GETPIVOTDATA("ADJBAL",AGTRAXDATA!$F$1,"BRANCH_NUMBER",296,"COMMODITY_CODE","02")/56</f>
        <v>0</v>
      </c>
      <c r="E38" s="61">
        <f>+GETPIVOTDATA("ADJBAL",AGTRAXDATA!$F$1,"BRANCH_NUMBER",296,"COMMODITY_CODE","04")/56</f>
        <v>418341.83928571426</v>
      </c>
      <c r="F38" s="61">
        <f>+GETPIVOTDATA("ADJBAL",AGTRAXDATA!$F$1,"BRANCH_NUMBER",296,"COMMODITY_CODE","03")/60</f>
        <v>0</v>
      </c>
      <c r="G38" s="61">
        <f>+GETPIVOTDATA("ADJBAL",AGTRAXDATA!$F$1,"BRANCH_NUMBER",296,"COMMODITY_CODE","22")/25</f>
        <v>0</v>
      </c>
      <c r="H38" s="76">
        <v>0</v>
      </c>
      <c r="I38" s="76"/>
      <c r="J38" s="80">
        <f t="shared" si="9"/>
        <v>418341.83928571426</v>
      </c>
      <c r="K38" s="66"/>
      <c r="L38" s="61">
        <f>+GETPIVOTDATA("LBS_UPDATED",SALESCONTRACTS!$E$1,"BRANCH_NUMBER",296,"COMMODITY_CODE","01")/60</f>
        <v>0</v>
      </c>
      <c r="M38" s="61">
        <f>+GETPIVOTDATA("LBS_UPDATED",SALESCONTRACTS!$E$1,"BRANCH_NUMBER",296,"COMMODITY_CODE","02")/56</f>
        <v>0</v>
      </c>
      <c r="N38" s="61">
        <f>+GETPIVOTDATA("LBS_UPDATED",SALESCONTRACTS!$E$1,"BRANCH_NUMBER",296,"COMMODITY_CODE","04")/56</f>
        <v>0</v>
      </c>
      <c r="O38" s="61">
        <f>+GETPIVOTDATA("LBS_UPDATED",SALESCONTRACTS!$E$1,"BRANCH_NUMBER",296,"COMMODITY_CODE","03")/60</f>
        <v>0</v>
      </c>
      <c r="P38" s="61">
        <f>+GETPIVOTDATA("LBS_UPDATED",SALESCONTRACTS!$E$1,"BRANCH_NUMBER",296,"COMMODITY_CODE","22")/25</f>
        <v>0</v>
      </c>
      <c r="Q38" s="66">
        <v>0</v>
      </c>
      <c r="R38" s="66">
        <v>0</v>
      </c>
      <c r="S38" s="66">
        <v>0</v>
      </c>
      <c r="T38" s="66">
        <v>0</v>
      </c>
      <c r="U38" s="85">
        <v>0</v>
      </c>
      <c r="V38" s="85">
        <v>0</v>
      </c>
      <c r="W38" s="82"/>
      <c r="X38" s="80">
        <f t="shared" si="10"/>
        <v>418341.83928571426</v>
      </c>
      <c r="Y38" s="66"/>
      <c r="Z38" s="66">
        <v>421662</v>
      </c>
      <c r="AA38" s="66">
        <v>0</v>
      </c>
      <c r="AB38" s="66">
        <v>0</v>
      </c>
      <c r="AC38" s="122">
        <f t="shared" si="11"/>
        <v>3320.1607142857392</v>
      </c>
      <c r="AD38" s="122"/>
      <c r="AE38" s="80">
        <f t="shared" si="12"/>
        <v>3320.1607142857392</v>
      </c>
      <c r="AF38" s="83"/>
      <c r="AG38" s="88">
        <v>0</v>
      </c>
      <c r="AH38" s="88">
        <v>0</v>
      </c>
      <c r="AI38" s="91">
        <v>0</v>
      </c>
      <c r="AJ38" s="84">
        <v>0</v>
      </c>
      <c r="AK38" s="82"/>
      <c r="AL38" s="85">
        <v>0</v>
      </c>
      <c r="AM38" s="84">
        <v>0</v>
      </c>
      <c r="AN38" s="82"/>
      <c r="AO38" s="80">
        <f t="shared" si="13"/>
        <v>3320.1607142857392</v>
      </c>
      <c r="AP38" s="63"/>
      <c r="AQ38" s="93">
        <v>0</v>
      </c>
      <c r="AR38" s="93">
        <v>0</v>
      </c>
      <c r="AS38" s="180">
        <v>0</v>
      </c>
      <c r="AT38" s="180">
        <v>0</v>
      </c>
      <c r="AU38" s="180">
        <v>0</v>
      </c>
      <c r="AV38" s="180">
        <v>0</v>
      </c>
      <c r="AW38" s="180">
        <v>0</v>
      </c>
      <c r="AX38" s="184">
        <f t="shared" si="8"/>
        <v>0</v>
      </c>
      <c r="AY38" s="80">
        <f t="shared" si="14"/>
        <v>3320.1607142857392</v>
      </c>
      <c r="AZ38" s="180">
        <v>0</v>
      </c>
      <c r="BA38" s="181">
        <v>0</v>
      </c>
      <c r="BB38" s="180">
        <v>0</v>
      </c>
      <c r="BC38" s="180">
        <v>0</v>
      </c>
      <c r="BD38" s="94"/>
      <c r="BE38" s="80">
        <f t="shared" si="15"/>
        <v>3320.1607142857392</v>
      </c>
      <c r="BF38" s="115">
        <v>0</v>
      </c>
      <c r="BG38" s="115">
        <v>0</v>
      </c>
      <c r="BH38" s="7">
        <v>418000</v>
      </c>
      <c r="BI38" s="115">
        <v>0</v>
      </c>
      <c r="BJ38" s="115">
        <v>0</v>
      </c>
      <c r="BK38" s="107"/>
      <c r="BL38" s="114">
        <f t="shared" si="16"/>
        <v>421320.16071428574</v>
      </c>
    </row>
    <row r="39" spans="1:64" ht="13.8" thickBot="1" x14ac:dyDescent="0.3">
      <c r="A39" s="63">
        <v>293</v>
      </c>
      <c r="B39" s="75" t="s">
        <v>180</v>
      </c>
      <c r="C39" s="61">
        <f>+GETPIVOTDATA("ADJBAL",AGTRAXDATA!$F$1,"BRANCH_NUMBER",293,"COMMODITY_CODE","01")/60</f>
        <v>134454.1</v>
      </c>
      <c r="D39" s="61">
        <f>+GETPIVOTDATA("ADJBAL",AGTRAXDATA!$F$1,"BRANCH_NUMBER",293,"COMMODITY_CODE","02")/56</f>
        <v>63350.125</v>
      </c>
      <c r="E39" s="61">
        <f>+GETPIVOTDATA("ADJBAL",AGTRAXDATA!$F$1,"BRANCH_NUMBER",293,"COMMODITY_CODE","04")/56</f>
        <v>441610.33928571426</v>
      </c>
      <c r="F39" s="61">
        <f>+GETPIVOTDATA("ADJBAL",AGTRAXDATA!$F$1,"BRANCH_NUMBER",293,"COMMODITY_CODE","03")/60</f>
        <v>319986.48333333334</v>
      </c>
      <c r="G39" s="61">
        <f>+GETPIVOTDATA("ADJBAL",AGTRAXDATA!$F$1,"BRANCH_NUMBER",293,"COMMODITY_CODE","22")/25</f>
        <v>0</v>
      </c>
      <c r="H39" s="76">
        <v>0</v>
      </c>
      <c r="I39" s="76"/>
      <c r="J39" s="80">
        <f t="shared" si="9"/>
        <v>959401.04761904757</v>
      </c>
      <c r="K39" s="66"/>
      <c r="L39" s="61">
        <f>+GETPIVOTDATA("LBS_UPDATED",SALESCONTRACTS!$E$1,"BRANCH_NUMBER",293,"COMMODITY_CODE","01")/60</f>
        <v>0</v>
      </c>
      <c r="M39" s="61">
        <f>+GETPIVOTDATA("LBS_UPDATED",SALESCONTRACTS!$E$1,"BRANCH_NUMBER",293,"COMMODITY_CODE","02")/56</f>
        <v>1141.6428571428571</v>
      </c>
      <c r="N39" s="61">
        <f>+GETPIVOTDATA("LBS_UPDATED",SALESCONTRACTS!$E$1,"BRANCH_NUMBER",293,"COMMODITY_CODE","04")/56</f>
        <v>6687.5357142857147</v>
      </c>
      <c r="O39" s="61">
        <f>+GETPIVOTDATA("LBS_UPDATED",SALESCONTRACTS!$E$1,"BRANCH_NUMBER",293,"COMMODITY_CODE","03")/60</f>
        <v>0</v>
      </c>
      <c r="P39" s="61">
        <f>+GETPIVOTDATA("LBS_UPDATED",SALESCONTRACTS!$E$1,"BRANCH_NUMBER",293,"COMMODITY_CODE","22")/25</f>
        <v>0</v>
      </c>
      <c r="Q39" s="66">
        <v>0</v>
      </c>
      <c r="R39" s="66">
        <v>0</v>
      </c>
      <c r="S39" s="66">
        <v>0</v>
      </c>
      <c r="T39" s="66">
        <v>0</v>
      </c>
      <c r="U39" s="85">
        <v>2500</v>
      </c>
      <c r="V39" s="85">
        <v>15000</v>
      </c>
      <c r="W39" s="82"/>
      <c r="X39" s="80">
        <f t="shared" si="10"/>
        <v>934071.86904761905</v>
      </c>
      <c r="Y39" s="66"/>
      <c r="Z39" s="66">
        <v>1140000</v>
      </c>
      <c r="AA39" s="66">
        <v>0</v>
      </c>
      <c r="AB39" s="66">
        <v>0</v>
      </c>
      <c r="AC39" s="122">
        <f t="shared" si="11"/>
        <v>180598.95238095243</v>
      </c>
      <c r="AD39" s="122"/>
      <c r="AE39" s="80">
        <f t="shared" si="12"/>
        <v>205928.13095238095</v>
      </c>
      <c r="AF39" s="66"/>
      <c r="AG39" s="88">
        <v>0</v>
      </c>
      <c r="AH39" s="88">
        <v>0</v>
      </c>
      <c r="AI39" s="91">
        <v>0</v>
      </c>
      <c r="AJ39" s="84">
        <v>0</v>
      </c>
      <c r="AK39" s="82"/>
      <c r="AL39" s="138">
        <v>50000</v>
      </c>
      <c r="AM39" s="84">
        <v>0</v>
      </c>
      <c r="AN39" s="82"/>
      <c r="AO39" s="80">
        <f t="shared" si="13"/>
        <v>155928.13095238095</v>
      </c>
      <c r="AP39" s="63"/>
      <c r="AQ39" s="93">
        <v>0</v>
      </c>
      <c r="AR39" s="93">
        <v>0</v>
      </c>
      <c r="AS39" s="180">
        <v>0</v>
      </c>
      <c r="AT39" s="180">
        <v>0</v>
      </c>
      <c r="AU39" s="180">
        <v>0</v>
      </c>
      <c r="AV39" s="180">
        <v>0</v>
      </c>
      <c r="AW39" s="180">
        <v>0</v>
      </c>
      <c r="AX39" s="184">
        <f t="shared" si="8"/>
        <v>0</v>
      </c>
      <c r="AY39" s="80">
        <f t="shared" si="14"/>
        <v>155928.13095238095</v>
      </c>
      <c r="AZ39" s="180">
        <v>0</v>
      </c>
      <c r="BA39" s="181">
        <v>0</v>
      </c>
      <c r="BB39" s="180">
        <v>0</v>
      </c>
      <c r="BC39" s="180">
        <v>0</v>
      </c>
      <c r="BD39" s="94"/>
      <c r="BE39" s="80">
        <f t="shared" si="15"/>
        <v>155928.13095238095</v>
      </c>
      <c r="BF39" s="115">
        <v>0</v>
      </c>
      <c r="BG39" s="115">
        <v>0</v>
      </c>
      <c r="BH39" s="180">
        <v>0</v>
      </c>
      <c r="BI39" s="115">
        <v>0</v>
      </c>
      <c r="BJ39" s="115">
        <v>0</v>
      </c>
      <c r="BK39" s="107"/>
      <c r="BL39" s="114">
        <f t="shared" si="16"/>
        <v>155928.13095238095</v>
      </c>
    </row>
    <row r="40" spans="1:64" ht="13.8" thickBot="1" x14ac:dyDescent="0.3">
      <c r="A40" s="63">
        <v>560</v>
      </c>
      <c r="B40" s="75" t="s">
        <v>181</v>
      </c>
      <c r="C40" s="61">
        <f>+GETPIVOTDATA("ADJBAL",AGTRAXDATA!$F$1,"BRANCH_NUMBER",560,"COMMODITY_CODE","01")/60</f>
        <v>664195.73333333328</v>
      </c>
      <c r="D40" s="61">
        <f>+GETPIVOTDATA("ADJBAL",AGTRAXDATA!$F$1,"BRANCH_NUMBER",560,"COMMODITY_CODE","02")/56</f>
        <v>51072.839285714283</v>
      </c>
      <c r="E40" s="61">
        <f>+GETPIVOTDATA("ADJBAL",AGTRAXDATA!$F$1,"BRANCH_NUMBER",560,"COMMODITY_CODE","04")/56</f>
        <v>324338.125</v>
      </c>
      <c r="F40" s="61">
        <f>+GETPIVOTDATA("ADJBAL",AGTRAXDATA!$F$1,"BRANCH_NUMBER",560,"COMMODITY_CODE","03")/60</f>
        <v>1258887.3500000001</v>
      </c>
      <c r="G40" s="61">
        <f>+GETPIVOTDATA("ADJBAL",AGTRAXDATA!$F$1,"BRANCH_NUMBER",560,"COMMODITY_CODE","22")/25</f>
        <v>0</v>
      </c>
      <c r="H40" s="76">
        <v>0</v>
      </c>
      <c r="I40" s="76"/>
      <c r="J40" s="80">
        <f t="shared" si="9"/>
        <v>2298494.0476190476</v>
      </c>
      <c r="K40" s="66"/>
      <c r="L40" s="61">
        <f>+GETPIVOTDATA("LBS_UPDATED",SALESCONTRACTS!$E$1,"BRANCH_NUMBER",560,"COMMODITY_CODE","01")/60</f>
        <v>2800000</v>
      </c>
      <c r="M40" s="61">
        <f>+GETPIVOTDATA("LBS_UPDATED",SALESCONTRACTS!$E$1,"BRANCH_NUMBER",560,"COMMODITY_CODE","02")/56</f>
        <v>23461.178571428572</v>
      </c>
      <c r="N40" s="61">
        <f>+GETPIVOTDATA("LBS_UPDATED",SALESCONTRACTS!$E$1,"BRANCH_NUMBER",560,"COMMODITY_CODE","04")/56</f>
        <v>1720000</v>
      </c>
      <c r="O40" s="61">
        <f>+GETPIVOTDATA("LBS_UPDATED",SALESCONTRACTS!$E$1,"BRANCH_NUMBER",560,"COMMODITY_CODE","03")/60</f>
        <v>0</v>
      </c>
      <c r="P40" s="61">
        <f>+GETPIVOTDATA("LBS_UPDATED",SALESCONTRACTS!$E$1,"BRANCH_NUMBER",560,"COMMODITY_CODE","22")/25</f>
        <v>0</v>
      </c>
      <c r="Q40" s="66">
        <v>0</v>
      </c>
      <c r="R40" s="66">
        <v>0</v>
      </c>
      <c r="S40" s="66">
        <v>0</v>
      </c>
      <c r="T40" s="66">
        <v>0</v>
      </c>
      <c r="U40" s="85">
        <v>0</v>
      </c>
      <c r="V40" s="85">
        <v>0</v>
      </c>
      <c r="W40" s="61"/>
      <c r="X40" s="80">
        <f t="shared" si="10"/>
        <v>-2244967.1309523811</v>
      </c>
      <c r="Y40" s="66"/>
      <c r="Z40" s="66">
        <v>2800000</v>
      </c>
      <c r="AA40" s="66">
        <v>0</v>
      </c>
      <c r="AB40" s="66">
        <v>0</v>
      </c>
      <c r="AC40" s="122">
        <f t="shared" si="11"/>
        <v>501505.95238095243</v>
      </c>
      <c r="AD40" s="122"/>
      <c r="AE40" s="80">
        <f t="shared" si="12"/>
        <v>5044967.1309523806</v>
      </c>
      <c r="AF40" s="66"/>
      <c r="AG40" s="88">
        <v>0</v>
      </c>
      <c r="AH40" s="88">
        <v>0</v>
      </c>
      <c r="AI40" s="91">
        <v>0</v>
      </c>
      <c r="AJ40" s="84">
        <v>0</v>
      </c>
      <c r="AK40" s="82"/>
      <c r="AL40" s="138">
        <v>2000000</v>
      </c>
      <c r="AM40" s="84">
        <v>0</v>
      </c>
      <c r="AN40" s="82"/>
      <c r="AO40" s="80">
        <f t="shared" si="13"/>
        <v>3044967.1309523806</v>
      </c>
      <c r="AP40" s="63"/>
      <c r="AQ40" s="93">
        <v>0</v>
      </c>
      <c r="AR40" s="93">
        <v>0</v>
      </c>
      <c r="AS40" s="180">
        <v>0</v>
      </c>
      <c r="AT40" s="180">
        <v>0</v>
      </c>
      <c r="AU40" s="180">
        <v>0</v>
      </c>
      <c r="AV40" s="180">
        <v>0</v>
      </c>
      <c r="AW40" s="180">
        <v>0</v>
      </c>
      <c r="AX40" s="184">
        <f t="shared" si="8"/>
        <v>0</v>
      </c>
      <c r="AY40" s="80">
        <f t="shared" si="14"/>
        <v>3044967.1309523806</v>
      </c>
      <c r="AZ40" s="64">
        <v>350000</v>
      </c>
      <c r="BA40" s="181">
        <v>0</v>
      </c>
      <c r="BB40" s="180">
        <v>0</v>
      </c>
      <c r="BC40" s="180">
        <v>0</v>
      </c>
      <c r="BD40" s="94"/>
      <c r="BE40" s="80">
        <f t="shared" si="15"/>
        <v>3394967.1309523806</v>
      </c>
      <c r="BF40" s="115">
        <v>0</v>
      </c>
      <c r="BG40" s="119">
        <v>100000</v>
      </c>
      <c r="BH40" s="180">
        <v>0</v>
      </c>
      <c r="BI40" s="119">
        <v>1200000</v>
      </c>
      <c r="BJ40" s="115">
        <v>0</v>
      </c>
      <c r="BK40" s="107"/>
      <c r="BL40" s="114">
        <f t="shared" si="16"/>
        <v>4694967.1309523806</v>
      </c>
    </row>
    <row r="41" spans="1:64" ht="13.8" thickBot="1" x14ac:dyDescent="0.3">
      <c r="A41" s="63">
        <v>561</v>
      </c>
      <c r="B41" s="75" t="s">
        <v>182</v>
      </c>
      <c r="C41" s="61">
        <f>+GETPIVOTDATA("ADJBAL",AGTRAXDATA!$F$1,"BRANCH_NUMBER",561,"COMMODITY_CODE","01")/60</f>
        <v>4183350.7166666668</v>
      </c>
      <c r="D41" s="61">
        <f>+GETPIVOTDATA("ADJBAL",AGTRAXDATA!$F$1,"BRANCH_NUMBER",561,"COMMODITY_CODE","02")/56</f>
        <v>0</v>
      </c>
      <c r="E41" s="61">
        <f>+GETPIVOTDATA("ADJBAL",AGTRAXDATA!$F$1,"BRANCH_NUMBER",561,"COMMODITY_CODE","04")/56</f>
        <v>0</v>
      </c>
      <c r="F41" s="61">
        <f>+GETPIVOTDATA("ADJBAL",AGTRAXDATA!$F$1,"BRANCH_NUMBER",561,"COMMODITY_CODE","03")/60</f>
        <v>0</v>
      </c>
      <c r="G41" s="61">
        <f>+GETPIVOTDATA("ADJBAL",AGTRAXDATA!$F$1,"BRANCH_NUMBER",561,"COMMODITY_CODE","22")/25</f>
        <v>0</v>
      </c>
      <c r="H41" s="76">
        <v>0</v>
      </c>
      <c r="I41" s="76"/>
      <c r="J41" s="80">
        <f t="shared" si="9"/>
        <v>4183350.7166666668</v>
      </c>
      <c r="K41" s="66"/>
      <c r="L41" s="61">
        <f>+GETPIVOTDATA("LBS_UPDATED",SALESCONTRACTS!$E$1,"BRANCH_NUMBER",561,"COMMODITY_CODE","01")/60</f>
        <v>0</v>
      </c>
      <c r="M41" s="61">
        <f>+GETPIVOTDATA("LBS_UPDATED",SALESCONTRACTS!$E$1,"BRANCH_NUMBER",561,"COMMODITY_CODE","02")/56</f>
        <v>0</v>
      </c>
      <c r="N41" s="61">
        <f>+GETPIVOTDATA("LBS_UPDATED",SALESCONTRACTS!$E$1,"BRANCH_NUMBER",561,"COMMODITY_CODE","04")/56</f>
        <v>0</v>
      </c>
      <c r="O41" s="61">
        <f>+GETPIVOTDATA("LBS_UPDATED",SALESCONTRACTS!$E$1,"BRANCH_NUMBER",561,"COMMODITY_CODE","03")/60</f>
        <v>0</v>
      </c>
      <c r="P41" s="61">
        <f>+GETPIVOTDATA("LBS_UPDATED",SALESCONTRACTS!$E$1,"BRANCH_NUMBER",561,"COMMODITY_CODE","22")/25</f>
        <v>0</v>
      </c>
      <c r="Q41" s="66">
        <v>0</v>
      </c>
      <c r="R41" s="66">
        <v>0</v>
      </c>
      <c r="S41" s="66">
        <v>0</v>
      </c>
      <c r="T41" s="66">
        <v>0</v>
      </c>
      <c r="U41" s="85">
        <v>0</v>
      </c>
      <c r="V41" s="85">
        <v>0</v>
      </c>
      <c r="W41" s="82"/>
      <c r="X41" s="80">
        <f t="shared" si="10"/>
        <v>4183350.7166666668</v>
      </c>
      <c r="Y41" s="66"/>
      <c r="Z41" s="66">
        <v>4183351</v>
      </c>
      <c r="AA41" s="66">
        <v>0</v>
      </c>
      <c r="AB41" s="66">
        <v>0</v>
      </c>
      <c r="AC41" s="122">
        <f t="shared" si="11"/>
        <v>0.28333333320915699</v>
      </c>
      <c r="AD41" s="122"/>
      <c r="AE41" s="80">
        <f t="shared" si="12"/>
        <v>0.28333333320915699</v>
      </c>
      <c r="AF41" s="83"/>
      <c r="AG41" s="88">
        <v>0</v>
      </c>
      <c r="AH41" s="88">
        <v>0</v>
      </c>
      <c r="AI41" s="91">
        <v>0</v>
      </c>
      <c r="AJ41" s="84">
        <v>0</v>
      </c>
      <c r="AK41" s="82"/>
      <c r="AL41" s="138">
        <v>2000000</v>
      </c>
      <c r="AM41" s="84">
        <v>0</v>
      </c>
      <c r="AN41" s="82"/>
      <c r="AO41" s="80">
        <f t="shared" si="13"/>
        <v>-1999999.7166666668</v>
      </c>
      <c r="AP41" s="63"/>
      <c r="AQ41" s="93">
        <v>0</v>
      </c>
      <c r="AR41" s="93">
        <v>0</v>
      </c>
      <c r="AS41" s="180">
        <v>0</v>
      </c>
      <c r="AT41" s="180">
        <v>0</v>
      </c>
      <c r="AU41" s="180">
        <v>0</v>
      </c>
      <c r="AV41" s="180">
        <v>0</v>
      </c>
      <c r="AW41" s="180">
        <v>0</v>
      </c>
      <c r="AX41" s="184">
        <f t="shared" si="8"/>
        <v>0</v>
      </c>
      <c r="AY41" s="80">
        <f t="shared" si="14"/>
        <v>-1999999.7166666668</v>
      </c>
      <c r="AZ41" s="64">
        <v>1690000</v>
      </c>
      <c r="BA41" s="181">
        <v>0</v>
      </c>
      <c r="BB41" s="180">
        <v>0</v>
      </c>
      <c r="BC41" s="180">
        <v>0</v>
      </c>
      <c r="BD41" s="94"/>
      <c r="BE41" s="80">
        <f t="shared" si="15"/>
        <v>-309999.71666666679</v>
      </c>
      <c r="BF41" s="119">
        <v>310000</v>
      </c>
      <c r="BG41" s="115">
        <v>0</v>
      </c>
      <c r="BH41" s="180">
        <v>0</v>
      </c>
      <c r="BI41" s="93">
        <v>0</v>
      </c>
      <c r="BJ41" s="115">
        <v>0</v>
      </c>
      <c r="BK41" s="107"/>
      <c r="BL41" s="114">
        <f t="shared" si="16"/>
        <v>0.28333333320915699</v>
      </c>
    </row>
    <row r="42" spans="1:64" ht="13.8" thickBot="1" x14ac:dyDescent="0.3">
      <c r="A42" s="63">
        <v>311</v>
      </c>
      <c r="B42" s="75" t="s">
        <v>56</v>
      </c>
      <c r="C42" s="61">
        <f>+GETPIVOTDATA("ADJBAL",AGTRAXDATA!$F$1,"BRANCH_NUMBER",311,"COMMODITY_CODE","01")/60</f>
        <v>511475.5</v>
      </c>
      <c r="D42" s="61">
        <f>+GETPIVOTDATA("ADJBAL",AGTRAXDATA!$F$1,"BRANCH_NUMBER",311,"COMMODITY_CODE","02")/56</f>
        <v>-1155.4107142857142</v>
      </c>
      <c r="E42" s="61">
        <f>+GETPIVOTDATA("ADJBAL",AGTRAXDATA!$F$1,"BRANCH_NUMBER",311,"COMMODITY_CODE","04")/56</f>
        <v>38107.232142857145</v>
      </c>
      <c r="F42" s="61">
        <f>+GETPIVOTDATA("ADJBAL",AGTRAXDATA!$F$1,"BRANCH_NUMBER",311,"COMMODITY_CODE","03")/60</f>
        <v>239769.46666666667</v>
      </c>
      <c r="G42" s="61">
        <f>+GETPIVOTDATA("ADJBAL",AGTRAXDATA!$F$1,"BRANCH_NUMBER",311,"COMMODITY_CODE","22")/25</f>
        <v>0</v>
      </c>
      <c r="H42" s="76">
        <v>0</v>
      </c>
      <c r="I42" s="76"/>
      <c r="J42" s="80">
        <f t="shared" si="9"/>
        <v>788196.78809523804</v>
      </c>
      <c r="K42" s="66"/>
      <c r="L42" s="61">
        <f>+GETPIVOTDATA("LBS_UPDATED",SALESCONTRACTS!$E$1,"BRANCH_NUMBER",311,"COMMODITY_CODE","01")/60</f>
        <v>0</v>
      </c>
      <c r="M42" s="61">
        <f>+GETPIVOTDATA("LBS_UPDATED",SALESCONTRACTS!$E$1,"BRANCH_NUMBER",311,"COMMODITY_CODE","02")/56</f>
        <v>277.14285714285717</v>
      </c>
      <c r="N42" s="61">
        <f>+GETPIVOTDATA("LBS_UPDATED",SALESCONTRACTS!$E$1,"BRANCH_NUMBER",311,"COMMODITY_CODE","04")/56</f>
        <v>3627.8571428571427</v>
      </c>
      <c r="O42" s="61">
        <f>+GETPIVOTDATA("LBS_UPDATED",SALESCONTRACTS!$E$1,"BRANCH_NUMBER",311,"COMMODITY_CODE","03")/60</f>
        <v>319.36666666666667</v>
      </c>
      <c r="P42" s="61">
        <f>+GETPIVOTDATA("LBS_UPDATED",SALESCONTRACTS!$E$1,"BRANCH_NUMBER",311,"COMMODITY_CODE","22")/25</f>
        <v>0</v>
      </c>
      <c r="Q42" s="66">
        <v>0</v>
      </c>
      <c r="R42" s="66">
        <v>0</v>
      </c>
      <c r="S42" s="66">
        <v>0</v>
      </c>
      <c r="T42" s="66">
        <v>0</v>
      </c>
      <c r="U42" s="85">
        <v>0</v>
      </c>
      <c r="V42" s="85">
        <v>28000</v>
      </c>
      <c r="W42" s="82"/>
      <c r="X42" s="80">
        <f t="shared" si="10"/>
        <v>755972.42142857134</v>
      </c>
      <c r="Y42" s="66"/>
      <c r="Z42" s="66">
        <v>1279000</v>
      </c>
      <c r="AA42" s="66">
        <v>49500</v>
      </c>
      <c r="AB42" s="66">
        <v>0</v>
      </c>
      <c r="AC42" s="122">
        <f t="shared" si="11"/>
        <v>540303.21190476196</v>
      </c>
      <c r="AD42" s="122"/>
      <c r="AE42" s="80">
        <f t="shared" si="12"/>
        <v>572527.57857142866</v>
      </c>
      <c r="AF42" s="66"/>
      <c r="AG42" s="88">
        <v>0</v>
      </c>
      <c r="AH42" s="88">
        <v>0</v>
      </c>
      <c r="AI42" s="91">
        <v>0</v>
      </c>
      <c r="AJ42" s="84">
        <v>0</v>
      </c>
      <c r="AK42" s="82"/>
      <c r="AL42" s="138">
        <v>690000</v>
      </c>
      <c r="AM42" s="84">
        <v>0</v>
      </c>
      <c r="AN42" s="82"/>
      <c r="AO42" s="80">
        <f t="shared" si="13"/>
        <v>-117472.42142857134</v>
      </c>
      <c r="AP42" s="63"/>
      <c r="AQ42" s="93">
        <v>0</v>
      </c>
      <c r="AR42" s="93">
        <v>0</v>
      </c>
      <c r="AS42" s="180">
        <v>0</v>
      </c>
      <c r="AT42" s="180">
        <v>0</v>
      </c>
      <c r="AU42" s="180">
        <v>0</v>
      </c>
      <c r="AV42" s="64">
        <v>110000</v>
      </c>
      <c r="AW42" s="180">
        <v>0</v>
      </c>
      <c r="AX42" s="184">
        <f t="shared" si="8"/>
        <v>110000</v>
      </c>
      <c r="AY42" s="80">
        <f t="shared" si="14"/>
        <v>-7472.4214285713388</v>
      </c>
      <c r="AZ42" s="180">
        <v>0</v>
      </c>
      <c r="BA42" s="181">
        <v>0</v>
      </c>
      <c r="BB42" s="180">
        <v>0</v>
      </c>
      <c r="BC42" s="180">
        <v>0</v>
      </c>
      <c r="BD42" s="94"/>
      <c r="BE42" s="80">
        <f t="shared" si="15"/>
        <v>-7472.4214285713388</v>
      </c>
      <c r="BF42" s="180">
        <v>0</v>
      </c>
      <c r="BG42" s="115">
        <v>0</v>
      </c>
      <c r="BH42" s="180">
        <v>0</v>
      </c>
      <c r="BI42" s="93">
        <v>0</v>
      </c>
      <c r="BJ42" s="115">
        <v>0</v>
      </c>
      <c r="BK42" s="107"/>
      <c r="BL42" s="114">
        <f t="shared" si="16"/>
        <v>-7472.4214285713388</v>
      </c>
    </row>
    <row r="43" spans="1:64" ht="13.8" thickBot="1" x14ac:dyDescent="0.3">
      <c r="A43" s="63">
        <v>315</v>
      </c>
      <c r="B43" s="75" t="s">
        <v>145</v>
      </c>
      <c r="C43" s="61">
        <f>+GETPIVOTDATA("ADJBAL",AGTRAXDATA!$F$1,"BRANCH_NUMBER",315,"COMMODITY_CODE","01")/60</f>
        <v>0</v>
      </c>
      <c r="D43" s="61">
        <f>+GETPIVOTDATA("ADJBAL",AGTRAXDATA!$F$1,"BRANCH_NUMBER",315,"COMMODITY_CODE","02")/56</f>
        <v>0</v>
      </c>
      <c r="E43" s="61">
        <f>+GETPIVOTDATA("ADJBAL",AGTRAXDATA!$F$1,"BRANCH_NUMBER",315,"COMMODITY_CODE","04")/56</f>
        <v>400303.375</v>
      </c>
      <c r="F43" s="61">
        <f>+GETPIVOTDATA("ADJBAL",AGTRAXDATA!$F$1,"BRANCH_NUMBER",315,"COMMODITY_CODE","03")/60</f>
        <v>0</v>
      </c>
      <c r="G43" s="61">
        <f>+GETPIVOTDATA("ADJBAL",AGTRAXDATA!$F$1,"BRANCH_NUMBER",315,"COMMODITY_CODE","22")/25</f>
        <v>0</v>
      </c>
      <c r="H43" s="76">
        <v>0</v>
      </c>
      <c r="I43" s="76"/>
      <c r="J43" s="80">
        <f t="shared" si="9"/>
        <v>400303.375</v>
      </c>
      <c r="K43" s="66"/>
      <c r="L43" s="61">
        <f>+GETPIVOTDATA("LBS_UPDATED",SALESCONTRACTS!$E$1,"BRANCH_NUMBER",315,"COMMODITY_CODE","01")/60</f>
        <v>0</v>
      </c>
      <c r="M43" s="61">
        <f>+GETPIVOTDATA("LBS_UPDATED",SALESCONTRACTS!$E$1,"BRANCH_NUMBER",315,"COMMODITY_CODE","02")/56</f>
        <v>0</v>
      </c>
      <c r="N43" s="61">
        <f>+GETPIVOTDATA("LBS_UPDATED",SALESCONTRACTS!$E$1,"BRANCH_NUMBER",315,"COMMODITY_CODE","04")/56</f>
        <v>0</v>
      </c>
      <c r="O43" s="61">
        <f>+GETPIVOTDATA("LBS_UPDATED",SALESCONTRACTS!$E$1,"BRANCH_NUMBER",315,"COMMODITY_CODE","03")/60</f>
        <v>0</v>
      </c>
      <c r="P43" s="61">
        <f>+GETPIVOTDATA("LBS_UPDATED",SALESCONTRACTS!$E$1,"BRANCH_NUMBER",315,"COMMODITY_CODE","22")/25</f>
        <v>0</v>
      </c>
      <c r="Q43" s="66">
        <v>0</v>
      </c>
      <c r="R43" s="66">
        <v>0</v>
      </c>
      <c r="S43" s="66">
        <v>0</v>
      </c>
      <c r="T43" s="66">
        <v>0</v>
      </c>
      <c r="U43" s="85">
        <v>0</v>
      </c>
      <c r="V43" s="85">
        <v>413000</v>
      </c>
      <c r="W43" s="82"/>
      <c r="X43" s="80">
        <f t="shared" si="10"/>
        <v>-12696.625</v>
      </c>
      <c r="Y43" s="66"/>
      <c r="Z43" s="66">
        <v>0</v>
      </c>
      <c r="AA43" s="66">
        <v>400000</v>
      </c>
      <c r="AB43" s="66">
        <v>0</v>
      </c>
      <c r="AC43" s="122">
        <f t="shared" si="11"/>
        <v>-303.375</v>
      </c>
      <c r="AD43" s="122"/>
      <c r="AE43" s="80">
        <f t="shared" si="12"/>
        <v>412696.625</v>
      </c>
      <c r="AF43" s="66"/>
      <c r="AG43" s="88">
        <v>0</v>
      </c>
      <c r="AH43" s="88">
        <v>0</v>
      </c>
      <c r="AI43" s="91">
        <v>0</v>
      </c>
      <c r="AJ43" s="84">
        <v>0</v>
      </c>
      <c r="AK43" s="82"/>
      <c r="AL43" s="140">
        <v>0</v>
      </c>
      <c r="AM43" s="84">
        <v>0</v>
      </c>
      <c r="AN43" s="82"/>
      <c r="AO43" s="80">
        <f t="shared" si="13"/>
        <v>412696.625</v>
      </c>
      <c r="AP43" s="63"/>
      <c r="AQ43" s="93">
        <v>0</v>
      </c>
      <c r="AR43" s="93">
        <v>0</v>
      </c>
      <c r="AS43" s="180">
        <v>0</v>
      </c>
      <c r="AT43" s="180">
        <v>0</v>
      </c>
      <c r="AU43" s="180">
        <v>0</v>
      </c>
      <c r="AV43" s="180">
        <v>0</v>
      </c>
      <c r="AW43" s="180">
        <v>0</v>
      </c>
      <c r="AX43" s="184">
        <f t="shared" si="8"/>
        <v>0</v>
      </c>
      <c r="AY43" s="80">
        <f t="shared" si="14"/>
        <v>412696.625</v>
      </c>
      <c r="AZ43" s="180">
        <v>0</v>
      </c>
      <c r="BA43" s="181">
        <v>0</v>
      </c>
      <c r="BB43" s="180">
        <v>0</v>
      </c>
      <c r="BC43" s="180">
        <v>0</v>
      </c>
      <c r="BD43" s="94"/>
      <c r="BE43" s="80">
        <f t="shared" si="15"/>
        <v>412696.625</v>
      </c>
      <c r="BF43" s="180">
        <v>0</v>
      </c>
      <c r="BG43" s="115">
        <v>0</v>
      </c>
      <c r="BH43" s="180">
        <v>0</v>
      </c>
      <c r="BI43" s="93">
        <v>0</v>
      </c>
      <c r="BJ43" s="115">
        <v>0</v>
      </c>
      <c r="BK43" s="107"/>
      <c r="BL43" s="114">
        <f t="shared" si="16"/>
        <v>412696.625</v>
      </c>
    </row>
    <row r="44" spans="1:64" ht="13.8" thickBot="1" x14ac:dyDescent="0.3">
      <c r="A44" s="63">
        <v>331</v>
      </c>
      <c r="B44" s="75" t="s">
        <v>57</v>
      </c>
      <c r="C44" s="61">
        <f>+GETPIVOTDATA("ADJBAL",AGTRAXDATA!$F$1,"BRANCH_NUMBER",331,"COMMODITY_CODE","01")/60</f>
        <v>8129.1333333333332</v>
      </c>
      <c r="D44" s="61">
        <f>+GETPIVOTDATA("ADJBAL",AGTRAXDATA!$F$1,"BRANCH_NUMBER",331,"COMMODITY_CODE","02")/56</f>
        <v>0</v>
      </c>
      <c r="E44" s="61">
        <f>+GETPIVOTDATA("ADJBAL",AGTRAXDATA!$F$1,"BRANCH_NUMBER",331,"COMMODITY_CODE","04")/56</f>
        <v>0</v>
      </c>
      <c r="F44" s="61">
        <f>+GETPIVOTDATA("ADJBAL",AGTRAXDATA!$F$1,"BRANCH_NUMBER",331,"COMMODITY_CODE","03")/60</f>
        <v>23552.683333333334</v>
      </c>
      <c r="G44" s="61">
        <f>+GETPIVOTDATA("ADJBAL",AGTRAXDATA!$F$1,"BRANCH_NUMBER",331,"COMMODITY_CODE","22")/25</f>
        <v>0</v>
      </c>
      <c r="H44" s="76">
        <v>0</v>
      </c>
      <c r="I44" s="76"/>
      <c r="J44" s="80">
        <f t="shared" si="9"/>
        <v>31681.816666666666</v>
      </c>
      <c r="K44" s="66"/>
      <c r="L44" s="61">
        <f>+GETPIVOTDATA("LBS_UPDATED",SALESCONTRACTS!$E$1,"BRANCH_NUMBER",331,"COMMODITY_CODE","01")/60</f>
        <v>0</v>
      </c>
      <c r="M44" s="61">
        <f>+GETPIVOTDATA("LBS_UPDATED",SALESCONTRACTS!$E$1,"BRANCH_NUMBER",331,"COMMODITY_CODE","02")/56</f>
        <v>0</v>
      </c>
      <c r="N44" s="61">
        <f>+GETPIVOTDATA("LBS_UPDATED",SALESCONTRACTS!$E$1,"BRANCH_NUMBER",331,"COMMODITY_CODE","04")/56</f>
        <v>0</v>
      </c>
      <c r="O44" s="61">
        <f>+GETPIVOTDATA("LBS_UPDATED",SALESCONTRACTS!$E$1,"BRANCH_NUMBER",331,"COMMODITY_CODE","03")/60</f>
        <v>0</v>
      </c>
      <c r="P44" s="61">
        <f>+GETPIVOTDATA("LBS_UPDATED",SALESCONTRACTS!$E$1,"BRANCH_NUMBER",331,"COMMODITY_CODE","22")/25</f>
        <v>0</v>
      </c>
      <c r="Q44" s="66">
        <v>0</v>
      </c>
      <c r="R44" s="66">
        <v>0</v>
      </c>
      <c r="S44" s="66">
        <v>0</v>
      </c>
      <c r="T44" s="66">
        <v>0</v>
      </c>
      <c r="U44" s="85">
        <v>0</v>
      </c>
      <c r="V44" s="85">
        <v>0</v>
      </c>
      <c r="W44" s="82"/>
      <c r="X44" s="80">
        <f t="shared" si="10"/>
        <v>31681.816666666666</v>
      </c>
      <c r="Y44" s="66"/>
      <c r="Z44" s="66">
        <v>178060</v>
      </c>
      <c r="AA44" s="66">
        <v>40500</v>
      </c>
      <c r="AB44" s="66">
        <v>0</v>
      </c>
      <c r="AC44" s="122">
        <f t="shared" si="11"/>
        <v>186878.18333333335</v>
      </c>
      <c r="AD44" s="122"/>
      <c r="AE44" s="80">
        <f t="shared" si="12"/>
        <v>186878.18333333335</v>
      </c>
      <c r="AF44" s="66"/>
      <c r="AG44" s="88">
        <v>0</v>
      </c>
      <c r="AH44" s="88">
        <v>0</v>
      </c>
      <c r="AI44" s="91">
        <v>0</v>
      </c>
      <c r="AJ44" s="84">
        <v>0</v>
      </c>
      <c r="AK44" s="82"/>
      <c r="AL44" s="138">
        <v>185000</v>
      </c>
      <c r="AM44" s="84">
        <v>0</v>
      </c>
      <c r="AN44" s="82"/>
      <c r="AO44" s="80">
        <f t="shared" si="13"/>
        <v>1878.1833333333489</v>
      </c>
      <c r="AP44" s="63"/>
      <c r="AQ44" s="93">
        <v>0</v>
      </c>
      <c r="AR44" s="93">
        <v>0</v>
      </c>
      <c r="AS44" s="180">
        <v>0</v>
      </c>
      <c r="AT44" s="180">
        <v>0</v>
      </c>
      <c r="AU44" s="180">
        <v>0</v>
      </c>
      <c r="AV44" s="180">
        <v>0</v>
      </c>
      <c r="AW44" s="180">
        <v>0</v>
      </c>
      <c r="AX44" s="184">
        <f t="shared" si="8"/>
        <v>0</v>
      </c>
      <c r="AY44" s="80">
        <f t="shared" si="14"/>
        <v>1878.1833333333489</v>
      </c>
      <c r="AZ44" s="108">
        <v>8000</v>
      </c>
      <c r="BA44" s="181">
        <v>0</v>
      </c>
      <c r="BB44" s="180">
        <v>0</v>
      </c>
      <c r="BC44" s="180">
        <v>0</v>
      </c>
      <c r="BD44" s="94"/>
      <c r="BE44" s="80">
        <f t="shared" si="15"/>
        <v>9878.1833333333489</v>
      </c>
      <c r="BF44" s="180">
        <v>0</v>
      </c>
      <c r="BG44" s="115">
        <v>0</v>
      </c>
      <c r="BH44" s="180">
        <v>0</v>
      </c>
      <c r="BI44" s="93">
        <v>0</v>
      </c>
      <c r="BJ44" s="115">
        <v>0</v>
      </c>
      <c r="BK44" s="107"/>
      <c r="BL44" s="114">
        <f t="shared" si="16"/>
        <v>9878.1833333333489</v>
      </c>
    </row>
    <row r="45" spans="1:64" ht="13.8" thickBot="1" x14ac:dyDescent="0.3">
      <c r="A45" s="63">
        <v>341</v>
      </c>
      <c r="B45" s="75" t="s">
        <v>58</v>
      </c>
      <c r="C45" s="61">
        <f>+GETPIVOTDATA("ADJBAL",AGTRAXDATA!$F$1,"BRANCH_NUMBER",341,"COMMODITY_CODE","01")/60</f>
        <v>300953.34999999998</v>
      </c>
      <c r="D45" s="61">
        <f>+GETPIVOTDATA("ADJBAL",AGTRAXDATA!$F$1,"BRANCH_NUMBER",341,"COMMODITY_CODE","02")/56</f>
        <v>2521.7857142857142</v>
      </c>
      <c r="E45" s="61">
        <f>+GETPIVOTDATA("ADJBAL",AGTRAXDATA!$F$1,"BRANCH_NUMBER",341,"COMMODITY_CODE","04")/56</f>
        <v>256275.35714285713</v>
      </c>
      <c r="F45" s="61">
        <f>+GETPIVOTDATA("ADJBAL",AGTRAXDATA!$F$1,"BRANCH_NUMBER",341,"COMMODITY_CODE","03")/60</f>
        <v>184825.31666666668</v>
      </c>
      <c r="G45" s="61">
        <f>+GETPIVOTDATA("ADJBAL",AGTRAXDATA!$F$1,"BRANCH_NUMBER",341,"COMMODITY_CODE","22")/25</f>
        <v>543.79999999999995</v>
      </c>
      <c r="H45" s="76">
        <v>0</v>
      </c>
      <c r="I45" s="76"/>
      <c r="J45" s="80">
        <f t="shared" si="9"/>
        <v>745119.60952380951</v>
      </c>
      <c r="K45" s="66"/>
      <c r="L45" s="61">
        <f>+GETPIVOTDATA("LBS_UPDATED",SALESCONTRACTS!$E$1,"BRANCH_NUMBER",341,"COMMODITY_CODE","01")/60</f>
        <v>0</v>
      </c>
      <c r="M45" s="61">
        <f>+GETPIVOTDATA("LBS_UPDATED",SALESCONTRACTS!$E$1,"BRANCH_NUMBER",341,"COMMODITY_CODE","02")/56</f>
        <v>0</v>
      </c>
      <c r="N45" s="61">
        <f>+GETPIVOTDATA("LBS_UPDATED",SALESCONTRACTS!$E$1,"BRANCH_NUMBER",341,"COMMODITY_CODE","04")/56</f>
        <v>5239.6428571428569</v>
      </c>
      <c r="O45" s="61">
        <f>+GETPIVOTDATA("LBS_UPDATED",SALESCONTRACTS!$E$1,"BRANCH_NUMBER",341,"COMMODITY_CODE","03")/60</f>
        <v>21481.733333333334</v>
      </c>
      <c r="P45" s="61">
        <f>+GETPIVOTDATA("LBS_UPDATED",SALESCONTRACTS!$E$1,"BRANCH_NUMBER",341,"COMMODITY_CODE","22")/25</f>
        <v>0</v>
      </c>
      <c r="Q45" s="66">
        <v>0</v>
      </c>
      <c r="R45" s="66">
        <v>0</v>
      </c>
      <c r="S45" s="66">
        <v>0</v>
      </c>
      <c r="T45" s="66">
        <v>0</v>
      </c>
      <c r="U45" s="85">
        <v>8000</v>
      </c>
      <c r="V45" s="85">
        <v>271000</v>
      </c>
      <c r="W45" s="82"/>
      <c r="X45" s="80">
        <f t="shared" si="10"/>
        <v>439398.2333333334</v>
      </c>
      <c r="Y45" s="66"/>
      <c r="Z45" s="66">
        <v>993000</v>
      </c>
      <c r="AA45" s="66">
        <v>0</v>
      </c>
      <c r="AB45" s="66">
        <v>0</v>
      </c>
      <c r="AC45" s="122">
        <f t="shared" si="11"/>
        <v>247880.39047619049</v>
      </c>
      <c r="AD45" s="122"/>
      <c r="AE45" s="80">
        <f t="shared" si="12"/>
        <v>553601.7666666666</v>
      </c>
      <c r="AF45" s="66"/>
      <c r="AG45" s="88">
        <v>0</v>
      </c>
      <c r="AH45" s="88">
        <v>0</v>
      </c>
      <c r="AI45" s="91">
        <v>0</v>
      </c>
      <c r="AJ45" s="84">
        <v>0</v>
      </c>
      <c r="AK45" s="82"/>
      <c r="AL45" s="138">
        <v>670000</v>
      </c>
      <c r="AM45" s="84">
        <v>0</v>
      </c>
      <c r="AN45" s="82"/>
      <c r="AO45" s="80">
        <f t="shared" si="13"/>
        <v>-116398.2333333334</v>
      </c>
      <c r="AP45" s="63"/>
      <c r="AQ45" s="93">
        <v>0</v>
      </c>
      <c r="AR45" s="93">
        <v>0</v>
      </c>
      <c r="AS45" s="180">
        <v>0</v>
      </c>
      <c r="AT45" s="180">
        <v>0</v>
      </c>
      <c r="AU45" s="180">
        <v>0</v>
      </c>
      <c r="AV45" s="64">
        <v>190000</v>
      </c>
      <c r="AW45" s="180">
        <v>0</v>
      </c>
      <c r="AX45" s="184">
        <f t="shared" si="8"/>
        <v>190000</v>
      </c>
      <c r="AY45" s="80">
        <f t="shared" si="14"/>
        <v>73601.766666666605</v>
      </c>
      <c r="AZ45" s="180">
        <v>0</v>
      </c>
      <c r="BA45" s="181">
        <v>0</v>
      </c>
      <c r="BB45" s="180">
        <v>0</v>
      </c>
      <c r="BC45" s="180">
        <v>0</v>
      </c>
      <c r="BD45" s="94"/>
      <c r="BE45" s="80">
        <f t="shared" si="15"/>
        <v>73601.766666666605</v>
      </c>
      <c r="BF45" s="180">
        <v>0</v>
      </c>
      <c r="BG45" s="115">
        <v>0</v>
      </c>
      <c r="BH45" s="180">
        <v>0</v>
      </c>
      <c r="BI45" s="93">
        <v>0</v>
      </c>
      <c r="BJ45" s="115">
        <v>0</v>
      </c>
      <c r="BK45" s="107"/>
      <c r="BL45" s="114">
        <f t="shared" si="16"/>
        <v>73601.766666666605</v>
      </c>
    </row>
    <row r="46" spans="1:64" ht="13.8" thickBot="1" x14ac:dyDescent="0.3">
      <c r="A46" s="63">
        <v>351</v>
      </c>
      <c r="B46" s="75" t="s">
        <v>59</v>
      </c>
      <c r="C46" s="61">
        <f>+GETPIVOTDATA("ADJBAL",AGTRAXDATA!$F$1,"BRANCH_NUMBER",351,"COMMODITY_CODE","01")/60</f>
        <v>235895.91666666666</v>
      </c>
      <c r="D46" s="61">
        <f>+GETPIVOTDATA("ADJBAL",AGTRAXDATA!$F$1,"BRANCH_NUMBER",351,"COMMODITY_CODE","02")/56</f>
        <v>7406.0892857142853</v>
      </c>
      <c r="E46" s="61">
        <f>+GETPIVOTDATA("ADJBAL",AGTRAXDATA!$F$1,"BRANCH_NUMBER",351,"COMMODITY_CODE","04")/56</f>
        <v>2813.0714285714284</v>
      </c>
      <c r="F46" s="61">
        <f>+GETPIVOTDATA("ADJBAL",AGTRAXDATA!$F$1,"BRANCH_NUMBER",351,"COMMODITY_CODE","03")/60</f>
        <v>152325.63333333333</v>
      </c>
      <c r="G46" s="61">
        <f>+GETPIVOTDATA("ADJBAL",AGTRAXDATA!$F$1,"BRANCH_NUMBER",351,"COMMODITY_CODE","22")/25</f>
        <v>0</v>
      </c>
      <c r="H46" s="76">
        <v>0</v>
      </c>
      <c r="I46" s="76"/>
      <c r="J46" s="80">
        <f t="shared" si="9"/>
        <v>398440.71071428573</v>
      </c>
      <c r="K46" s="66"/>
      <c r="L46" s="61">
        <f>+GETPIVOTDATA("LBS_UPDATED",SALESCONTRACTS!$E$1,"BRANCH_NUMBER",351,"COMMODITY_CODE","01")/60</f>
        <v>0</v>
      </c>
      <c r="M46" s="61">
        <f>+GETPIVOTDATA("LBS_UPDATED",SALESCONTRACTS!$E$1,"BRANCH_NUMBER",351,"COMMODITY_CODE","02")/56</f>
        <v>0</v>
      </c>
      <c r="N46" s="61">
        <f>+GETPIVOTDATA("LBS_UPDATED",SALESCONTRACTS!$E$1,"BRANCH_NUMBER",351,"COMMODITY_CODE","04")/56</f>
        <v>0</v>
      </c>
      <c r="O46" s="61">
        <f>+GETPIVOTDATA("LBS_UPDATED",SALESCONTRACTS!$E$1,"BRANCH_NUMBER",351,"COMMODITY_CODE","03")/60</f>
        <v>0</v>
      </c>
      <c r="P46" s="61">
        <f>+GETPIVOTDATA("LBS_UPDATED",SALESCONTRACTS!$E$1,"BRANCH_NUMBER",351,"COMMODITY_CODE","22")/25</f>
        <v>0</v>
      </c>
      <c r="Q46" s="66">
        <v>0</v>
      </c>
      <c r="R46" s="66">
        <v>0</v>
      </c>
      <c r="S46" s="66">
        <v>0</v>
      </c>
      <c r="T46" s="66">
        <v>0</v>
      </c>
      <c r="U46" s="85">
        <v>0</v>
      </c>
      <c r="V46" s="85">
        <v>0</v>
      </c>
      <c r="W46" s="82"/>
      <c r="X46" s="80">
        <f t="shared" si="10"/>
        <v>398440.71071428573</v>
      </c>
      <c r="Y46" s="66"/>
      <c r="Z46" s="66">
        <v>519300</v>
      </c>
      <c r="AA46" s="66">
        <v>31500</v>
      </c>
      <c r="AB46" s="66">
        <v>0</v>
      </c>
      <c r="AC46" s="122">
        <f t="shared" si="11"/>
        <v>152359.28928571427</v>
      </c>
      <c r="AD46" s="122"/>
      <c r="AE46" s="80">
        <f t="shared" si="12"/>
        <v>152359.28928571427</v>
      </c>
      <c r="AF46" s="66"/>
      <c r="AG46" s="88">
        <v>0</v>
      </c>
      <c r="AH46" s="88">
        <v>0</v>
      </c>
      <c r="AI46" s="91">
        <v>0</v>
      </c>
      <c r="AJ46" s="84">
        <v>0</v>
      </c>
      <c r="AK46" s="82"/>
      <c r="AL46" s="138">
        <v>210000</v>
      </c>
      <c r="AM46" s="84">
        <v>0</v>
      </c>
      <c r="AN46" s="82"/>
      <c r="AO46" s="80">
        <f t="shared" si="13"/>
        <v>-57640.710714285728</v>
      </c>
      <c r="AP46" s="63"/>
      <c r="AQ46" s="93">
        <v>0</v>
      </c>
      <c r="AR46" s="93">
        <v>0</v>
      </c>
      <c r="AS46" s="180">
        <v>0</v>
      </c>
      <c r="AT46" s="180">
        <v>0</v>
      </c>
      <c r="AU46" s="180">
        <v>0</v>
      </c>
      <c r="AV46" s="64">
        <v>50000</v>
      </c>
      <c r="AW46" s="180">
        <v>0</v>
      </c>
      <c r="AX46" s="184">
        <f t="shared" si="8"/>
        <v>50000</v>
      </c>
      <c r="AY46" s="80">
        <f t="shared" si="14"/>
        <v>-7640.7107142857276</v>
      </c>
      <c r="AZ46" s="180">
        <v>0</v>
      </c>
      <c r="BA46" s="181">
        <v>0</v>
      </c>
      <c r="BB46" s="180">
        <v>0</v>
      </c>
      <c r="BC46" s="180">
        <v>0</v>
      </c>
      <c r="BD46" s="94"/>
      <c r="BE46" s="80">
        <f t="shared" si="15"/>
        <v>-7640.7107142857276</v>
      </c>
      <c r="BF46" s="180">
        <v>0</v>
      </c>
      <c r="BG46" s="115">
        <v>0</v>
      </c>
      <c r="BH46" s="180">
        <v>0</v>
      </c>
      <c r="BI46" s="93">
        <v>0</v>
      </c>
      <c r="BJ46" s="115">
        <v>0</v>
      </c>
      <c r="BK46" s="107"/>
      <c r="BL46" s="114">
        <f t="shared" si="16"/>
        <v>-7640.7107142857276</v>
      </c>
    </row>
    <row r="47" spans="1:64" ht="13.8" thickBot="1" x14ac:dyDescent="0.3">
      <c r="A47" s="63">
        <v>361</v>
      </c>
      <c r="B47" s="75" t="s">
        <v>60</v>
      </c>
      <c r="C47" s="61">
        <f>+GETPIVOTDATA("ADJBAL",AGTRAXDATA!$F$1,"BRANCH_NUMBER",361,"COMMODITY_CODE","01")/60</f>
        <v>184802.01666666666</v>
      </c>
      <c r="D47" s="61">
        <f>+GETPIVOTDATA("ADJBAL",AGTRAXDATA!$F$1,"BRANCH_NUMBER",361,"COMMODITY_CODE","02")/56</f>
        <v>0</v>
      </c>
      <c r="E47" s="61">
        <f>+GETPIVOTDATA("ADJBAL",AGTRAXDATA!$F$1,"BRANCH_NUMBER",361,"COMMODITY_CODE","04")/56</f>
        <v>0</v>
      </c>
      <c r="F47" s="61">
        <f>+GETPIVOTDATA("ADJBAL",AGTRAXDATA!$F$1,"BRANCH_NUMBER",361,"COMMODITY_CODE","03")/60</f>
        <v>0</v>
      </c>
      <c r="G47" s="61">
        <f>+GETPIVOTDATA("ADJBAL",AGTRAXDATA!$F$1,"BRANCH_NUMBER",361,"COMMODITY_CODE","22")/25</f>
        <v>0</v>
      </c>
      <c r="H47" s="76">
        <v>0</v>
      </c>
      <c r="I47" s="76"/>
      <c r="J47" s="80">
        <f t="shared" si="9"/>
        <v>184802.01666666666</v>
      </c>
      <c r="K47" s="66"/>
      <c r="L47" s="61">
        <f>+GETPIVOTDATA("LBS_UPDATED",SALESCONTRACTS!$E$1,"BRANCH_NUMBER",361,"COMMODITY_CODE","01")/60</f>
        <v>171.8</v>
      </c>
      <c r="M47" s="61">
        <f>+GETPIVOTDATA("LBS_UPDATED",SALESCONTRACTS!$E$1,"BRANCH_NUMBER",361,"COMMODITY_CODE","02")/56</f>
        <v>0</v>
      </c>
      <c r="N47" s="61">
        <f>+GETPIVOTDATA("LBS_UPDATED",SALESCONTRACTS!$E$1,"BRANCH_NUMBER",361,"COMMODITY_CODE","04")/56</f>
        <v>0</v>
      </c>
      <c r="O47" s="61">
        <f>+GETPIVOTDATA("LBS_UPDATED",SALESCONTRACTS!$E$1,"BRANCH_NUMBER",361,"COMMODITY_CODE","03")/60</f>
        <v>0</v>
      </c>
      <c r="P47" s="61">
        <f>+GETPIVOTDATA("LBS_UPDATED",SALESCONTRACTS!$E$1,"BRANCH_NUMBER",361,"COMMODITY_CODE","22")/25</f>
        <v>0</v>
      </c>
      <c r="Q47" s="66">
        <v>0</v>
      </c>
      <c r="R47" s="66">
        <v>0</v>
      </c>
      <c r="S47" s="66">
        <v>0</v>
      </c>
      <c r="T47" s="66">
        <v>0</v>
      </c>
      <c r="U47" s="85">
        <v>0</v>
      </c>
      <c r="V47" s="85">
        <v>0</v>
      </c>
      <c r="W47" s="82"/>
      <c r="X47" s="80">
        <f t="shared" si="10"/>
        <v>184630.21666666667</v>
      </c>
      <c r="Y47" s="66"/>
      <c r="Z47" s="66">
        <v>345600</v>
      </c>
      <c r="AA47" s="66">
        <v>0</v>
      </c>
      <c r="AB47" s="66">
        <v>0</v>
      </c>
      <c r="AC47" s="122">
        <f t="shared" si="11"/>
        <v>160797.98333333334</v>
      </c>
      <c r="AD47" s="122"/>
      <c r="AE47" s="80">
        <f t="shared" si="12"/>
        <v>160969.78333333333</v>
      </c>
      <c r="AF47" s="66"/>
      <c r="AG47" s="88">
        <v>0</v>
      </c>
      <c r="AH47" s="88">
        <v>0</v>
      </c>
      <c r="AI47" s="91">
        <v>0</v>
      </c>
      <c r="AJ47" s="84">
        <v>0</v>
      </c>
      <c r="AK47" s="82"/>
      <c r="AL47" s="138">
        <v>130000</v>
      </c>
      <c r="AM47" s="84">
        <v>0</v>
      </c>
      <c r="AN47" s="82"/>
      <c r="AO47" s="80">
        <f t="shared" si="13"/>
        <v>30969.783333333326</v>
      </c>
      <c r="AP47" s="63"/>
      <c r="AQ47" s="93">
        <v>0</v>
      </c>
      <c r="AR47" s="93">
        <v>0</v>
      </c>
      <c r="AS47" s="180">
        <v>0</v>
      </c>
      <c r="AT47" s="180">
        <v>0</v>
      </c>
      <c r="AU47" s="180">
        <v>0</v>
      </c>
      <c r="AV47" s="180">
        <v>0</v>
      </c>
      <c r="AW47" s="180">
        <v>0</v>
      </c>
      <c r="AX47" s="184">
        <f t="shared" si="8"/>
        <v>0</v>
      </c>
      <c r="AY47" s="80">
        <f t="shared" si="14"/>
        <v>30969.783333333326</v>
      </c>
      <c r="AZ47" s="180">
        <v>0</v>
      </c>
      <c r="BA47" s="181">
        <v>0</v>
      </c>
      <c r="BB47" s="180">
        <v>0</v>
      </c>
      <c r="BC47" s="180">
        <v>0</v>
      </c>
      <c r="BD47" s="94"/>
      <c r="BE47" s="80">
        <f t="shared" si="15"/>
        <v>30969.783333333326</v>
      </c>
      <c r="BF47" s="180">
        <v>0</v>
      </c>
      <c r="BG47" s="115">
        <v>0</v>
      </c>
      <c r="BH47" s="180">
        <v>0</v>
      </c>
      <c r="BI47" s="93">
        <v>0</v>
      </c>
      <c r="BJ47" s="115">
        <v>0</v>
      </c>
      <c r="BK47" s="107"/>
      <c r="BL47" s="114">
        <f t="shared" si="16"/>
        <v>30969.783333333326</v>
      </c>
    </row>
    <row r="48" spans="1:64" ht="13.8" thickBot="1" x14ac:dyDescent="0.3">
      <c r="A48" s="66">
        <v>432433</v>
      </c>
      <c r="B48" s="75" t="s">
        <v>61</v>
      </c>
      <c r="C48" s="61">
        <f>(+GETPIVOTDATA("ADJBAL",AGTRAXDATA!$F$1,"BRANCH_NUMBER",432,"COMMODITY_CODE","01")+GETPIVOTDATA("ADJBAL",AGTRAXDATA!$F$1,"BRANCH_NUMBER",433,"COMMODITY_CODE","01"))/60</f>
        <v>114595.31666666667</v>
      </c>
      <c r="D48" s="61">
        <f>(+GETPIVOTDATA("ADJBAL",AGTRAXDATA!$F$1,"BRANCH_NUMBER",432,"COMMODITY_CODE","02")+GETPIVOTDATA("ADJBAL",AGTRAXDATA!$F$1,"BRANCH_NUMBER",433,"COMMODITY_CODE","02"))/56</f>
        <v>186861.96428571429</v>
      </c>
      <c r="E48" s="61">
        <f>(+GETPIVOTDATA("ADJBAL",AGTRAXDATA!$F$1,"BRANCH_NUMBER",432,"COMMODITY_CODE","04")+GETPIVOTDATA("ADJBAL",AGTRAXDATA!$F$1,"BRANCH_NUMBER",433,"COMMODITY_CODE","04"))/56</f>
        <v>972277.16071428568</v>
      </c>
      <c r="F48" s="61">
        <f>(+GETPIVOTDATA("ADJBAL",AGTRAXDATA!$F$1,"BRANCH_NUMBER",432,"COMMODITY_CODE","03")+GETPIVOTDATA("ADJBAL",AGTRAXDATA!$F$1,"BRANCH_NUMBER",433,"COMMODITY_CODE","03"))/60</f>
        <v>744127.25</v>
      </c>
      <c r="G48" s="61">
        <f>(+GETPIVOTDATA("ADJBAL",AGTRAXDATA!$F$1,"BRANCH_NUMBER",432,"COMMODITY_CODE","22")+GETPIVOTDATA("ADJBAL",AGTRAXDATA!$F$1,"BRANCH_NUMBER",433,"COMMODITY_CODE","22"))/25</f>
        <v>0</v>
      </c>
      <c r="H48" s="76">
        <v>0</v>
      </c>
      <c r="I48" s="76"/>
      <c r="J48" s="80">
        <f t="shared" si="9"/>
        <v>2017861.6916666667</v>
      </c>
      <c r="K48" s="66"/>
      <c r="L48" s="61">
        <f>(+GETPIVOTDATA("LBS_UPDATED",SALESCONTRACTS!$E$1,"BRANCH_NUMBER",432,"COMMODITY_CODE","01")+GETPIVOTDATA("LBS_UPDATED",SALESCONTRACTS!$E$1,"BRANCH_NUMBER",433,"COMMODITY_CODE","01"))/60</f>
        <v>0</v>
      </c>
      <c r="M48" s="61">
        <f>(+GETPIVOTDATA("LBS_UPDATED",SALESCONTRACTS!$E$1,"BRANCH_NUMBER",432,"COMMODITY_CODE","02")+GETPIVOTDATA("LBS_UPDATED",SALESCONTRACTS!$E$1,"BRANCH_NUMBER",433,"COMMODITY_CODE","02"))/56</f>
        <v>0</v>
      </c>
      <c r="N48" s="61">
        <f>(+GETPIVOTDATA("LBS_UPDATED",SALESCONTRACTS!$E$1,"BRANCH_NUMBER",432,"COMMODITY_CODE","04")+GETPIVOTDATA("LBS_UPDATED",SALESCONTRACTS!$E$1,"BRANCH_NUMBER",433,"COMMODITY_CODE","04"))/56</f>
        <v>5045.8928571428569</v>
      </c>
      <c r="O48" s="61">
        <f>(+GETPIVOTDATA("LBS_UPDATED",SALESCONTRACTS!$E$1,"BRANCH_NUMBER",432,"COMMODITY_CODE","03")+GETPIVOTDATA("LBS_UPDATED",SALESCONTRACTS!$E$1,"BRANCH_NUMBER",433,"COMMODITY_CODE","03"))/60</f>
        <v>0</v>
      </c>
      <c r="P48" s="61">
        <f>(+GETPIVOTDATA("LBS_UPDATED",SALESCONTRACTS!$E$1,"BRANCH_NUMBER",432,"COMMODITY_CODE","22")+GETPIVOTDATA("LBS_UPDATED",SALESCONTRACTS!$E$1,"BRANCH_NUMBER",433,"COMMODITY_CODE","22"))/60</f>
        <v>0</v>
      </c>
      <c r="Q48" s="66">
        <v>0</v>
      </c>
      <c r="R48" s="66">
        <v>0</v>
      </c>
      <c r="S48" s="66">
        <v>0</v>
      </c>
      <c r="T48" s="66">
        <v>0</v>
      </c>
      <c r="U48" s="85">
        <v>0</v>
      </c>
      <c r="V48" s="85">
        <v>0</v>
      </c>
      <c r="W48" s="82"/>
      <c r="X48" s="80">
        <f t="shared" si="10"/>
        <v>2012815.7988095237</v>
      </c>
      <c r="Y48" s="66"/>
      <c r="Z48" s="66">
        <v>2165500</v>
      </c>
      <c r="AA48" s="66">
        <v>90000</v>
      </c>
      <c r="AB48" s="66">
        <v>0</v>
      </c>
      <c r="AC48" s="122">
        <f t="shared" si="11"/>
        <v>237638.30833333335</v>
      </c>
      <c r="AD48" s="122"/>
      <c r="AE48" s="80">
        <f t="shared" si="12"/>
        <v>242684.20119047631</v>
      </c>
      <c r="AF48" s="66"/>
      <c r="AG48" s="88">
        <v>0</v>
      </c>
      <c r="AH48" s="88">
        <v>0</v>
      </c>
      <c r="AI48" s="91">
        <v>0</v>
      </c>
      <c r="AJ48" s="84">
        <v>0</v>
      </c>
      <c r="AK48" s="82"/>
      <c r="AL48" s="138">
        <v>1140000</v>
      </c>
      <c r="AM48" s="84">
        <v>0</v>
      </c>
      <c r="AN48" s="82"/>
      <c r="AO48" s="80">
        <f t="shared" si="13"/>
        <v>-897315.79880952369</v>
      </c>
      <c r="AP48" s="63"/>
      <c r="AQ48" s="93">
        <v>0</v>
      </c>
      <c r="AR48" s="93">
        <v>0</v>
      </c>
      <c r="AS48" s="180">
        <v>0</v>
      </c>
      <c r="AT48" s="180">
        <v>0</v>
      </c>
      <c r="AU48" s="180">
        <v>0</v>
      </c>
      <c r="AV48" s="180">
        <v>0</v>
      </c>
      <c r="AW48" s="180">
        <v>0</v>
      </c>
      <c r="AX48" s="184">
        <f t="shared" si="8"/>
        <v>0</v>
      </c>
      <c r="AY48" s="80">
        <f t="shared" si="14"/>
        <v>-897315.79880952369</v>
      </c>
      <c r="AZ48" s="180">
        <v>0</v>
      </c>
      <c r="BA48" s="181">
        <v>0</v>
      </c>
      <c r="BB48" s="180">
        <v>0</v>
      </c>
      <c r="BC48" s="180">
        <v>0</v>
      </c>
      <c r="BD48" s="94"/>
      <c r="BE48" s="80">
        <f t="shared" si="15"/>
        <v>-897315.79880952369</v>
      </c>
      <c r="BF48" s="180">
        <v>0</v>
      </c>
      <c r="BG48" s="117">
        <v>138000</v>
      </c>
      <c r="BH48" s="180">
        <v>0</v>
      </c>
      <c r="BI48" s="115">
        <v>744000</v>
      </c>
      <c r="BJ48" s="115">
        <v>0</v>
      </c>
      <c r="BK48" s="107"/>
      <c r="BL48" s="114">
        <f t="shared" si="16"/>
        <v>-15315.798809523694</v>
      </c>
    </row>
    <row r="49" spans="1:64" ht="13.8" thickBot="1" x14ac:dyDescent="0.3">
      <c r="A49" s="63">
        <v>442</v>
      </c>
      <c r="B49" s="75" t="s">
        <v>62</v>
      </c>
      <c r="C49" s="61">
        <f>+GETPIVOTDATA("ADJBAL",AGTRAXDATA!$F$1,"BRANCH_NUMBER",442,"COMMODITY_CODE","01")/60</f>
        <v>1166.3666666666666</v>
      </c>
      <c r="D49" s="61">
        <f>+GETPIVOTDATA("ADJBAL",AGTRAXDATA!$F$1,"BRANCH_NUMBER",442,"COMMODITY_CODE","02")/56</f>
        <v>111011.26785714286</v>
      </c>
      <c r="E49" s="61">
        <f>+GETPIVOTDATA("ADJBAL",AGTRAXDATA!$F$1,"BRANCH_NUMBER",442,"COMMODITY_CODE","04")/56</f>
        <v>151842.125</v>
      </c>
      <c r="F49" s="61">
        <f>+GETPIVOTDATA("ADJBAL",AGTRAXDATA!$F$1,"BRANCH_NUMBER",442,"COMMODITY_CODE","03")/60</f>
        <v>285625.96666666667</v>
      </c>
      <c r="G49" s="61">
        <f>+GETPIVOTDATA("ADJBAL",AGTRAXDATA!$F$1,"BRANCH_NUMBER",442,"COMMODITY_CODE","22")/25</f>
        <v>0</v>
      </c>
      <c r="H49" s="76">
        <v>0</v>
      </c>
      <c r="I49" s="76"/>
      <c r="J49" s="80">
        <f t="shared" si="9"/>
        <v>549645.72619047621</v>
      </c>
      <c r="K49" s="66"/>
      <c r="L49" s="61">
        <f>+GETPIVOTDATA("LBS_UPDATED",SALESCONTRACTS!$E$1,"BRANCH_NUMBER",442,"COMMODITY_CODE","01")/60</f>
        <v>0</v>
      </c>
      <c r="M49" s="61">
        <f>+GETPIVOTDATA("LBS_UPDATED",SALESCONTRACTS!$E$1,"BRANCH_NUMBER",442,"COMMODITY_CODE","02")/56</f>
        <v>0</v>
      </c>
      <c r="N49" s="61">
        <f>+GETPIVOTDATA("LBS_UPDATED",SALESCONTRACTS!$E$1,"BRANCH_NUMBER",442,"COMMODITY_CODE","04")/56</f>
        <v>847.42857142857144</v>
      </c>
      <c r="O49" s="61">
        <f>+GETPIVOTDATA("LBS_UPDATED",SALESCONTRACTS!$E$1,"BRANCH_NUMBER",442,"COMMODITY_CODE","03")/60</f>
        <v>0</v>
      </c>
      <c r="P49" s="61">
        <f>+GETPIVOTDATA("LBS_UPDATED",SALESCONTRACTS!$E$1,"BRANCH_NUMBER",442,"COMMODITY_CODE","22")/25</f>
        <v>0</v>
      </c>
      <c r="Q49" s="66">
        <v>0</v>
      </c>
      <c r="R49" s="66">
        <v>0</v>
      </c>
      <c r="S49" s="66">
        <v>0</v>
      </c>
      <c r="T49" s="66">
        <v>0</v>
      </c>
      <c r="U49" s="85">
        <v>0</v>
      </c>
      <c r="V49" s="85">
        <v>0</v>
      </c>
      <c r="W49" s="82"/>
      <c r="X49" s="80">
        <f t="shared" si="10"/>
        <v>548798.29761904769</v>
      </c>
      <c r="Y49" s="66"/>
      <c r="Z49" s="66">
        <v>867600</v>
      </c>
      <c r="AA49" s="66">
        <v>0</v>
      </c>
      <c r="AB49" s="66">
        <v>0</v>
      </c>
      <c r="AC49" s="122">
        <f t="shared" si="11"/>
        <v>317954.27380952379</v>
      </c>
      <c r="AD49" s="122"/>
      <c r="AE49" s="80">
        <f t="shared" si="12"/>
        <v>318801.70238095231</v>
      </c>
      <c r="AF49" s="66"/>
      <c r="AG49" s="88">
        <v>0</v>
      </c>
      <c r="AH49" s="88">
        <v>0</v>
      </c>
      <c r="AI49" s="91">
        <v>0</v>
      </c>
      <c r="AJ49" s="84">
        <v>0</v>
      </c>
      <c r="AK49" s="82"/>
      <c r="AL49" s="139">
        <v>420000</v>
      </c>
      <c r="AM49" s="84">
        <v>0</v>
      </c>
      <c r="AN49" s="82"/>
      <c r="AO49" s="80">
        <f t="shared" si="13"/>
        <v>-101198.29761904769</v>
      </c>
      <c r="AP49" s="63"/>
      <c r="AQ49" s="93">
        <v>0</v>
      </c>
      <c r="AR49" s="93">
        <v>0</v>
      </c>
      <c r="AS49" s="180">
        <v>0</v>
      </c>
      <c r="AT49" s="180">
        <v>0</v>
      </c>
      <c r="AU49" s="180">
        <v>0</v>
      </c>
      <c r="AV49" s="180">
        <v>0</v>
      </c>
      <c r="AW49" s="180">
        <v>0</v>
      </c>
      <c r="AX49" s="184">
        <f t="shared" si="8"/>
        <v>0</v>
      </c>
      <c r="AY49" s="80">
        <f t="shared" si="14"/>
        <v>-101198.29761904769</v>
      </c>
      <c r="AZ49" s="180">
        <v>0</v>
      </c>
      <c r="BA49" s="181">
        <v>0</v>
      </c>
      <c r="BB49" s="180">
        <v>0</v>
      </c>
      <c r="BC49" s="180">
        <v>0</v>
      </c>
      <c r="BD49" s="94"/>
      <c r="BE49" s="80">
        <f t="shared" si="15"/>
        <v>-101198.29761904769</v>
      </c>
      <c r="BF49" s="180">
        <v>0</v>
      </c>
      <c r="BG49" s="115">
        <v>111000</v>
      </c>
      <c r="BH49" s="180">
        <v>0</v>
      </c>
      <c r="BI49" s="115">
        <v>0</v>
      </c>
      <c r="BJ49" s="115">
        <v>0</v>
      </c>
      <c r="BK49" s="107"/>
      <c r="BL49" s="114">
        <f t="shared" si="16"/>
        <v>9801.7023809523089</v>
      </c>
    </row>
    <row r="50" spans="1:64" ht="13.8" thickBot="1" x14ac:dyDescent="0.3">
      <c r="A50" s="63">
        <v>443</v>
      </c>
      <c r="B50" s="75" t="s">
        <v>63</v>
      </c>
      <c r="C50" s="61">
        <f>+GETPIVOTDATA("ADJBAL",AGTRAXDATA!$F$1,"BRANCH_NUMBER",443,"COMMODITY_CODE","01")/60</f>
        <v>422909.28333333333</v>
      </c>
      <c r="D50" s="61">
        <f>+GETPIVOTDATA("ADJBAL",AGTRAXDATA!$F$1,"BRANCH_NUMBER",443,"COMMODITY_CODE","02")/56</f>
        <v>19511.732142857141</v>
      </c>
      <c r="E50" s="61">
        <f>+GETPIVOTDATA("ADJBAL",AGTRAXDATA!$F$1,"BRANCH_NUMBER",443,"COMMODITY_CODE","04")/56</f>
        <v>20866.035714285714</v>
      </c>
      <c r="F50" s="61">
        <f>+GETPIVOTDATA("ADJBAL",AGTRAXDATA!$F$1,"BRANCH_NUMBER",443,"COMMODITY_CODE","03")/60</f>
        <v>463126.95</v>
      </c>
      <c r="G50" s="61">
        <f>+GETPIVOTDATA("ADJBAL",AGTRAXDATA!$F$1,"BRANCH_NUMBER",443,"COMMODITY_CODE","22")/25</f>
        <v>0</v>
      </c>
      <c r="H50" s="76">
        <v>0</v>
      </c>
      <c r="I50" s="76"/>
      <c r="J50" s="80">
        <f t="shared" si="9"/>
        <v>926414.00119047624</v>
      </c>
      <c r="K50" s="66"/>
      <c r="L50" s="61">
        <f>+GETPIVOTDATA("LBS_UPDATED",SALESCONTRACTS!$E$1,"BRANCH_NUMBER",443,"COMMODITY_CODE","01")/60</f>
        <v>0</v>
      </c>
      <c r="M50" s="61">
        <f>+GETPIVOTDATA("LBS_UPDATED",SALESCONTRACTS!$E$1,"BRANCH_NUMBER",443,"COMMODITY_CODE","02")/56</f>
        <v>0</v>
      </c>
      <c r="N50" s="61">
        <f>+GETPIVOTDATA("LBS_UPDATED",SALESCONTRACTS!$E$1,"BRANCH_NUMBER",443,"COMMODITY_CODE","04")/56</f>
        <v>0</v>
      </c>
      <c r="O50" s="61">
        <f>+GETPIVOTDATA("LBS_UPDATED",SALESCONTRACTS!$E$1,"BRANCH_NUMBER",443,"COMMODITY_CODE","03")/60</f>
        <v>0</v>
      </c>
      <c r="P50" s="61">
        <f>+GETPIVOTDATA("LBS_UPDATED",SALESCONTRACTS!$E$1,"BRANCH_NUMBER",443,"COMMODITY_CODE","22")/25</f>
        <v>0</v>
      </c>
      <c r="Q50" s="66">
        <v>0</v>
      </c>
      <c r="R50" s="66">
        <v>0</v>
      </c>
      <c r="S50" s="66">
        <v>0</v>
      </c>
      <c r="T50" s="66">
        <v>0</v>
      </c>
      <c r="U50" s="85">
        <v>0</v>
      </c>
      <c r="V50" s="85">
        <v>0</v>
      </c>
      <c r="W50" s="82"/>
      <c r="X50" s="80">
        <f t="shared" si="10"/>
        <v>926414.00119047624</v>
      </c>
      <c r="Y50" s="66"/>
      <c r="Z50" s="66">
        <v>1293000</v>
      </c>
      <c r="AA50" s="66">
        <v>0</v>
      </c>
      <c r="AB50" s="66">
        <v>0</v>
      </c>
      <c r="AC50" s="122">
        <f t="shared" si="11"/>
        <v>366585.99880952376</v>
      </c>
      <c r="AD50" s="122"/>
      <c r="AE50" s="80">
        <f t="shared" si="12"/>
        <v>366585.99880952376</v>
      </c>
      <c r="AF50" s="66"/>
      <c r="AG50" s="88">
        <v>0</v>
      </c>
      <c r="AH50" s="88">
        <v>0</v>
      </c>
      <c r="AI50" s="91">
        <v>0</v>
      </c>
      <c r="AJ50" s="84">
        <v>0</v>
      </c>
      <c r="AK50" s="82"/>
      <c r="AL50" s="138">
        <v>348000</v>
      </c>
      <c r="AM50" s="84">
        <v>0</v>
      </c>
      <c r="AN50" s="82"/>
      <c r="AO50" s="80">
        <f t="shared" si="13"/>
        <v>18585.998809523764</v>
      </c>
      <c r="AP50" s="63"/>
      <c r="AQ50" s="93">
        <v>0</v>
      </c>
      <c r="AR50" s="93">
        <v>0</v>
      </c>
      <c r="AS50" s="180">
        <v>0</v>
      </c>
      <c r="AT50" s="180">
        <v>0</v>
      </c>
      <c r="AU50" s="180">
        <v>0</v>
      </c>
      <c r="AV50" s="180">
        <v>0</v>
      </c>
      <c r="AW50" s="180">
        <v>0</v>
      </c>
      <c r="AX50" s="184">
        <f t="shared" si="8"/>
        <v>0</v>
      </c>
      <c r="AY50" s="80">
        <f t="shared" si="14"/>
        <v>18585.998809523764</v>
      </c>
      <c r="AZ50" s="180">
        <v>0</v>
      </c>
      <c r="BA50" s="181">
        <v>0</v>
      </c>
      <c r="BB50" s="180">
        <v>0</v>
      </c>
      <c r="BC50" s="180">
        <v>0</v>
      </c>
      <c r="BD50" s="94"/>
      <c r="BE50" s="80">
        <f t="shared" si="15"/>
        <v>18585.998809523764</v>
      </c>
      <c r="BF50" s="180">
        <v>0</v>
      </c>
      <c r="BG50" s="115">
        <v>0</v>
      </c>
      <c r="BH50" s="180">
        <v>0</v>
      </c>
      <c r="BI50" s="115">
        <v>0</v>
      </c>
      <c r="BJ50" s="115">
        <v>0</v>
      </c>
      <c r="BK50" s="107"/>
      <c r="BL50" s="114">
        <f t="shared" si="16"/>
        <v>18585.998809523764</v>
      </c>
    </row>
    <row r="51" spans="1:64" ht="13.8" thickBot="1" x14ac:dyDescent="0.3">
      <c r="A51" s="63">
        <v>445</v>
      </c>
      <c r="B51" s="75" t="s">
        <v>146</v>
      </c>
      <c r="C51" s="61">
        <f>+GETPIVOTDATA("ADJBAL",AGTRAXDATA!$F$1,"BRANCH_NUMBER",445,"COMMODITY_CODE","01")/60</f>
        <v>0</v>
      </c>
      <c r="D51" s="61">
        <f>+GETPIVOTDATA("ADJBAL",AGTRAXDATA!$F$1,"BRANCH_NUMBER",445,"COMMODITY_CODE","02")/56</f>
        <v>0</v>
      </c>
      <c r="E51" s="61">
        <f>+GETPIVOTDATA("ADJBAL",AGTRAXDATA!$F$1,"BRANCH_NUMBER",445,"COMMODITY_CODE","04")/56</f>
        <v>494967.23214285716</v>
      </c>
      <c r="F51" s="61">
        <f>+GETPIVOTDATA("ADJBAL",AGTRAXDATA!$F$1,"BRANCH_NUMBER",445,"COMMODITY_CODE","03")/60</f>
        <v>0</v>
      </c>
      <c r="G51" s="61">
        <f>+GETPIVOTDATA("ADJBAL",AGTRAXDATA!$F$1,"BRANCH_NUMBER",445,"COMMODITY_CODE","22")/25</f>
        <v>0</v>
      </c>
      <c r="H51" s="76">
        <v>0</v>
      </c>
      <c r="I51" s="76"/>
      <c r="J51" s="80">
        <f t="shared" si="9"/>
        <v>494967.23214285716</v>
      </c>
      <c r="K51" s="66"/>
      <c r="L51" s="61">
        <f>+GETPIVOTDATA("LBS_UPDATED",SALESCONTRACTS!$E$1,"BRANCH_NUMBER",445,"COMMODITY_CODE","01")/60</f>
        <v>0</v>
      </c>
      <c r="M51" s="61">
        <f>+GETPIVOTDATA("LBS_UPDATED",SALESCONTRACTS!$E$1,"BRANCH_NUMBER",445,"COMMODITY_CODE","02")/56</f>
        <v>0</v>
      </c>
      <c r="N51" s="61">
        <f>+GETPIVOTDATA("LBS_UPDATED",SALESCONTRACTS!$E$1,"BRANCH_NUMBER",445,"COMMODITY_CODE","04")/56</f>
        <v>0</v>
      </c>
      <c r="O51" s="61">
        <f>+GETPIVOTDATA("LBS_UPDATED",SALESCONTRACTS!$E$1,"BRANCH_NUMBER",445,"COMMODITY_CODE","03")/60</f>
        <v>0</v>
      </c>
      <c r="P51" s="61">
        <f>+GETPIVOTDATA("LBS_UPDATED",SALESCONTRACTS!$E$1,"BRANCH_NUMBER",445,"COMMODITY_CODE","22")/25</f>
        <v>0</v>
      </c>
      <c r="Q51" s="66">
        <v>0</v>
      </c>
      <c r="R51" s="66">
        <v>0</v>
      </c>
      <c r="S51" s="66">
        <v>0</v>
      </c>
      <c r="T51" s="66">
        <v>0</v>
      </c>
      <c r="U51" s="85">
        <v>0</v>
      </c>
      <c r="V51" s="85">
        <v>0</v>
      </c>
      <c r="W51" s="82"/>
      <c r="X51" s="80">
        <f t="shared" si="10"/>
        <v>494967.23214285716</v>
      </c>
      <c r="Y51" s="66"/>
      <c r="Z51" s="66">
        <v>0</v>
      </c>
      <c r="AA51" s="66">
        <v>500000</v>
      </c>
      <c r="AB51" s="66">
        <v>0</v>
      </c>
      <c r="AC51" s="122">
        <f t="shared" si="11"/>
        <v>5032.7678571428405</v>
      </c>
      <c r="AD51" s="122"/>
      <c r="AE51" s="80">
        <f t="shared" si="12"/>
        <v>5032.7678571428405</v>
      </c>
      <c r="AF51" s="66"/>
      <c r="AG51" s="88">
        <v>0</v>
      </c>
      <c r="AH51" s="88">
        <v>0</v>
      </c>
      <c r="AI51" s="91">
        <v>0</v>
      </c>
      <c r="AJ51" s="84">
        <v>0</v>
      </c>
      <c r="AK51" s="85"/>
      <c r="AL51" s="138">
        <v>0</v>
      </c>
      <c r="AM51" s="84">
        <v>0</v>
      </c>
      <c r="AN51" s="82"/>
      <c r="AO51" s="80">
        <f t="shared" si="13"/>
        <v>5032.7678571428405</v>
      </c>
      <c r="AP51" s="63"/>
      <c r="AQ51" s="93">
        <v>0</v>
      </c>
      <c r="AR51" s="93">
        <v>0</v>
      </c>
      <c r="AS51" s="180">
        <v>0</v>
      </c>
      <c r="AT51" s="180">
        <v>0</v>
      </c>
      <c r="AU51" s="64">
        <v>495000</v>
      </c>
      <c r="AV51" s="180">
        <v>0</v>
      </c>
      <c r="AW51" s="180">
        <v>0</v>
      </c>
      <c r="AX51" s="184">
        <f t="shared" si="8"/>
        <v>495000</v>
      </c>
      <c r="AY51" s="80">
        <f t="shared" si="14"/>
        <v>500032.76785714284</v>
      </c>
      <c r="AZ51" s="180">
        <v>0</v>
      </c>
      <c r="BA51" s="181">
        <v>0</v>
      </c>
      <c r="BB51" s="180">
        <v>0</v>
      </c>
      <c r="BC51" s="180">
        <v>0</v>
      </c>
      <c r="BD51" s="94"/>
      <c r="BE51" s="80">
        <f t="shared" si="15"/>
        <v>500032.76785714284</v>
      </c>
      <c r="BF51" s="180">
        <v>0</v>
      </c>
      <c r="BG51" s="115">
        <v>0</v>
      </c>
      <c r="BH51" s="180">
        <v>0</v>
      </c>
      <c r="BI51" s="115">
        <v>0</v>
      </c>
      <c r="BJ51" s="115">
        <v>0</v>
      </c>
      <c r="BK51" s="107"/>
      <c r="BL51" s="114">
        <f t="shared" si="16"/>
        <v>500032.76785714284</v>
      </c>
    </row>
    <row r="52" spans="1:64" ht="13.8" thickBot="1" x14ac:dyDescent="0.3">
      <c r="A52" s="63">
        <v>447</v>
      </c>
      <c r="B52" s="75" t="s">
        <v>176</v>
      </c>
      <c r="C52" s="61">
        <f>+GETPIVOTDATA("ADJBAL",AGTRAXDATA!$F$1,"BRANCH_NUMBER",447,"COMMODITY_CODE","01")/60</f>
        <v>-1184.1166666666666</v>
      </c>
      <c r="D52" s="61">
        <f>+GETPIVOTDATA("ADJBAL",AGTRAXDATA!$F$1,"BRANCH_NUMBER",447,"COMMODITY_CODE","02")/56</f>
        <v>0</v>
      </c>
      <c r="E52" s="61">
        <f>+GETPIVOTDATA("ADJBAL",AGTRAXDATA!$F$1,"BRANCH_NUMBER",447,"COMMODITY_CODE","04")/56</f>
        <v>57961.178571428572</v>
      </c>
      <c r="F52" s="61">
        <f>+GETPIVOTDATA("ADJBAL",AGTRAXDATA!$F$1,"BRANCH_NUMBER",447,"COMMODITY_CODE","03")/60</f>
        <v>419648.98333333334</v>
      </c>
      <c r="G52" s="61">
        <f>+GETPIVOTDATA("ADJBAL",AGTRAXDATA!$F$1,"BRANCH_NUMBER",447,"COMMODITY_CODE","22")/25</f>
        <v>0</v>
      </c>
      <c r="H52" s="76">
        <v>0</v>
      </c>
      <c r="I52" s="76"/>
      <c r="J52" s="80">
        <f t="shared" si="9"/>
        <v>476426.04523809522</v>
      </c>
      <c r="K52" s="66"/>
      <c r="L52" s="61">
        <f>+GETPIVOTDATA("LBS_UPDATED",SALESCONTRACTS!$E$1,"BRANCH_NUMBER",447,"COMMODITY_CODE","01")/60</f>
        <v>0</v>
      </c>
      <c r="M52" s="61">
        <f>+GETPIVOTDATA("LBS_UPDATED",SALESCONTRACTS!$E$1,"BRANCH_NUMBER",447,"COMMODITY_CODE","02")/56</f>
        <v>0</v>
      </c>
      <c r="N52" s="61">
        <f>+GETPIVOTDATA("LBS_UPDATED",SALESCONTRACTS!$E$1,"BRANCH_NUMBER",447,"COMMODITY_CODE","04")/56</f>
        <v>6524.6071428571431</v>
      </c>
      <c r="O52" s="61">
        <f>+GETPIVOTDATA("LBS_UPDATED",SALESCONTRACTS!$E$1,"BRANCH_NUMBER",447,"COMMODITY_CODE","03")/60</f>
        <v>0</v>
      </c>
      <c r="P52" s="61">
        <f>+GETPIVOTDATA("LBS_UPDATED",SALESCONTRACTS!$E$1,"BRANCH_NUMBER",447,"COMMODITY_CODE","22")/25</f>
        <v>0</v>
      </c>
      <c r="Q52" s="66">
        <v>0</v>
      </c>
      <c r="R52" s="66">
        <v>0</v>
      </c>
      <c r="S52" s="66">
        <v>0</v>
      </c>
      <c r="T52" s="66">
        <v>0</v>
      </c>
      <c r="U52" s="85">
        <v>0</v>
      </c>
      <c r="V52" s="85">
        <v>0</v>
      </c>
      <c r="W52" s="82"/>
      <c r="X52" s="80">
        <f t="shared" si="10"/>
        <v>469901.43809523806</v>
      </c>
      <c r="Y52" s="66"/>
      <c r="Z52" s="66">
        <v>900000</v>
      </c>
      <c r="AA52" s="66">
        <v>0</v>
      </c>
      <c r="AB52" s="66">
        <v>0</v>
      </c>
      <c r="AC52" s="122">
        <f t="shared" si="11"/>
        <v>423573.95476190478</v>
      </c>
      <c r="AD52" s="122"/>
      <c r="AE52" s="80">
        <f t="shared" si="12"/>
        <v>430098.56190476194</v>
      </c>
      <c r="AF52" s="66"/>
      <c r="AG52" s="88">
        <v>0</v>
      </c>
      <c r="AH52" s="88">
        <v>0</v>
      </c>
      <c r="AI52" s="91">
        <v>0</v>
      </c>
      <c r="AJ52" s="84">
        <v>0</v>
      </c>
      <c r="AK52" s="82"/>
      <c r="AL52" s="138">
        <v>365000</v>
      </c>
      <c r="AM52" s="84">
        <v>0</v>
      </c>
      <c r="AN52" s="82"/>
      <c r="AO52" s="80">
        <f t="shared" si="13"/>
        <v>65098.56190476194</v>
      </c>
      <c r="AP52" s="63"/>
      <c r="AQ52" s="93">
        <v>0</v>
      </c>
      <c r="AR52" s="93">
        <v>0</v>
      </c>
      <c r="AS52" s="180">
        <v>0</v>
      </c>
      <c r="AT52" s="180">
        <v>0</v>
      </c>
      <c r="AU52" s="64">
        <v>57000</v>
      </c>
      <c r="AV52" s="180">
        <v>0</v>
      </c>
      <c r="AW52" s="180">
        <v>0</v>
      </c>
      <c r="AX52" s="184">
        <f t="shared" si="8"/>
        <v>57000</v>
      </c>
      <c r="AY52" s="80">
        <f t="shared" si="14"/>
        <v>122098.56190476194</v>
      </c>
      <c r="AZ52" s="180">
        <v>0</v>
      </c>
      <c r="BA52" s="181">
        <v>0</v>
      </c>
      <c r="BB52" s="180">
        <v>0</v>
      </c>
      <c r="BC52" s="180">
        <v>0</v>
      </c>
      <c r="BD52" s="94"/>
      <c r="BE52" s="80">
        <f t="shared" si="15"/>
        <v>122098.56190476194</v>
      </c>
      <c r="BF52" s="180">
        <v>0</v>
      </c>
      <c r="BG52" s="180">
        <v>0</v>
      </c>
      <c r="BH52" s="180">
        <v>0</v>
      </c>
      <c r="BI52" s="115">
        <v>0</v>
      </c>
      <c r="BJ52" s="115">
        <v>0</v>
      </c>
      <c r="BK52" s="107"/>
      <c r="BL52" s="114">
        <f t="shared" si="16"/>
        <v>122098.56190476194</v>
      </c>
    </row>
    <row r="53" spans="1:64" ht="13.8" thickBot="1" x14ac:dyDescent="0.3">
      <c r="A53" s="63">
        <v>510</v>
      </c>
      <c r="B53" s="75" t="s">
        <v>64</v>
      </c>
      <c r="C53" s="61">
        <f>+GETPIVOTDATA("ADJBAL",AGTRAXDATA!$F$1,"BRANCH_NUMBER",510,"COMMODITY_CODE","01")/60</f>
        <v>285830.21666666667</v>
      </c>
      <c r="D53" s="61">
        <f>+GETPIVOTDATA("ADJBAL",AGTRAXDATA!$F$1,"BRANCH_NUMBER",510,"COMMODITY_CODE","02")/56</f>
        <v>497541.69642857142</v>
      </c>
      <c r="E53" s="61">
        <f>+GETPIVOTDATA("ADJBAL",AGTRAXDATA!$F$1,"BRANCH_NUMBER",510,"COMMODITY_CODE","04")/56</f>
        <v>0</v>
      </c>
      <c r="F53" s="61">
        <f>+GETPIVOTDATA("ADJBAL",AGTRAXDATA!$F$1,"BRANCH_NUMBER",510,"COMMODITY_CODE","03")/60</f>
        <v>213716.68333333332</v>
      </c>
      <c r="G53" s="61">
        <f>+GETPIVOTDATA("ADJBAL",AGTRAXDATA!$F$1,"BRANCH_NUMBER",510,"COMMODITY_CODE","22")/25</f>
        <v>0</v>
      </c>
      <c r="H53" s="76">
        <v>0</v>
      </c>
      <c r="I53" s="76"/>
      <c r="J53" s="80">
        <f t="shared" si="9"/>
        <v>997088.5964285715</v>
      </c>
      <c r="K53" s="66"/>
      <c r="L53" s="61">
        <f>+GETPIVOTDATA("LBS_UPDATED",SALESCONTRACTS!$E$1,"BRANCH_NUMBER",510,"COMMODITY_CODE","01")/60</f>
        <v>30038.666666666668</v>
      </c>
      <c r="M53" s="61">
        <f>+GETPIVOTDATA("LBS_UPDATED",SALESCONTRACTS!$E$1,"BRANCH_NUMBER",510,"COMMODITY_CODE","02")/56</f>
        <v>0</v>
      </c>
      <c r="N53" s="61">
        <f>+GETPIVOTDATA("LBS_UPDATED",SALESCONTRACTS!$E$1,"BRANCH_NUMBER",510,"COMMODITY_CODE","04")/56</f>
        <v>0</v>
      </c>
      <c r="O53" s="61">
        <f>+GETPIVOTDATA("LBS_UPDATED",SALESCONTRACTS!$E$1,"BRANCH_NUMBER",510,"COMMODITY_CODE","03")/60</f>
        <v>0</v>
      </c>
      <c r="P53" s="61">
        <f>+GETPIVOTDATA("LBS_UPDATED",SALESCONTRACTS!$E$1,"BRANCH_NUMBER",510,"COMMODITY_CODE","22")/25</f>
        <v>0</v>
      </c>
      <c r="Q53" s="66">
        <v>0</v>
      </c>
      <c r="R53" s="66">
        <v>0</v>
      </c>
      <c r="S53" s="66">
        <v>0</v>
      </c>
      <c r="T53" s="66">
        <v>0</v>
      </c>
      <c r="U53" s="85">
        <v>0</v>
      </c>
      <c r="V53" s="85">
        <v>0</v>
      </c>
      <c r="W53" s="82"/>
      <c r="X53" s="80">
        <f t="shared" si="10"/>
        <v>967049.92976190487</v>
      </c>
      <c r="Y53" s="66"/>
      <c r="Z53" s="66">
        <v>1175000</v>
      </c>
      <c r="AA53" s="66">
        <v>0</v>
      </c>
      <c r="AB53" s="66">
        <v>0</v>
      </c>
      <c r="AC53" s="122">
        <f t="shared" si="11"/>
        <v>177911.4035714285</v>
      </c>
      <c r="AD53" s="122"/>
      <c r="AE53" s="80">
        <f t="shared" si="12"/>
        <v>207950.07023809513</v>
      </c>
      <c r="AF53" s="66"/>
      <c r="AG53" s="88">
        <v>0</v>
      </c>
      <c r="AH53" s="88">
        <v>0</v>
      </c>
      <c r="AI53" s="91">
        <v>0</v>
      </c>
      <c r="AJ53" s="84">
        <v>0</v>
      </c>
      <c r="AK53" s="82"/>
      <c r="AL53" s="138">
        <v>1000000</v>
      </c>
      <c r="AM53" s="84">
        <v>0</v>
      </c>
      <c r="AN53" s="82"/>
      <c r="AO53" s="80">
        <f t="shared" si="13"/>
        <v>-792049.92976190487</v>
      </c>
      <c r="AP53" s="63"/>
      <c r="AQ53" s="93">
        <v>0</v>
      </c>
      <c r="AR53" s="93">
        <v>0</v>
      </c>
      <c r="AS53" s="180">
        <v>0</v>
      </c>
      <c r="AT53" s="180">
        <v>0</v>
      </c>
      <c r="AU53" s="180">
        <v>0</v>
      </c>
      <c r="AV53" s="180">
        <v>0</v>
      </c>
      <c r="AW53" s="180">
        <v>0</v>
      </c>
      <c r="AX53" s="184">
        <f t="shared" si="8"/>
        <v>0</v>
      </c>
      <c r="AY53" s="80">
        <f t="shared" si="14"/>
        <v>-792049.92976190487</v>
      </c>
      <c r="AZ53" s="180">
        <v>0</v>
      </c>
      <c r="BA53" s="181">
        <v>0</v>
      </c>
      <c r="BB53" s="180">
        <v>0</v>
      </c>
      <c r="BC53" s="180">
        <v>0</v>
      </c>
      <c r="BD53" s="94"/>
      <c r="BE53" s="80">
        <f t="shared" si="15"/>
        <v>-792049.92976190487</v>
      </c>
      <c r="BF53" s="180">
        <v>0</v>
      </c>
      <c r="BG53" s="64">
        <v>498000</v>
      </c>
      <c r="BH53" s="180">
        <v>0</v>
      </c>
      <c r="BI53" s="8">
        <v>214000</v>
      </c>
      <c r="BJ53" s="115">
        <v>0</v>
      </c>
      <c r="BK53" s="107"/>
      <c r="BL53" s="114">
        <f t="shared" si="16"/>
        <v>-80049.929761904874</v>
      </c>
    </row>
    <row r="54" spans="1:64" ht="13.8" thickBot="1" x14ac:dyDescent="0.3">
      <c r="A54" s="63">
        <v>520</v>
      </c>
      <c r="B54" s="75" t="s">
        <v>65</v>
      </c>
      <c r="C54" s="61">
        <f>+GETPIVOTDATA("ADJBAL",AGTRAXDATA!$F$1,"BRANCH_NUMBER",520,"COMMODITY_CODE","01")/60</f>
        <v>130528.2</v>
      </c>
      <c r="D54" s="61">
        <f>+GETPIVOTDATA("ADJBAL",AGTRAXDATA!$F$1,"BRANCH_NUMBER",520,"COMMODITY_CODE","02")/56</f>
        <v>11030.767857142857</v>
      </c>
      <c r="E54" s="61">
        <f>+GETPIVOTDATA("ADJBAL",AGTRAXDATA!$F$1,"BRANCH_NUMBER",520,"COMMODITY_CODE","04")/56</f>
        <v>10534.053571428571</v>
      </c>
      <c r="F54" s="61">
        <f>+GETPIVOTDATA("ADJBAL",AGTRAXDATA!$F$1,"BRANCH_NUMBER",520,"COMMODITY_CODE","03")/60</f>
        <v>0</v>
      </c>
      <c r="G54" s="61">
        <f>+GETPIVOTDATA("ADJBAL",AGTRAXDATA!$F$1,"BRANCH_NUMBER",520,"COMMODITY_CODE","22")/25</f>
        <v>-357.36</v>
      </c>
      <c r="H54" s="76">
        <v>0</v>
      </c>
      <c r="I54" s="76"/>
      <c r="J54" s="80">
        <f t="shared" si="9"/>
        <v>151735.66142857145</v>
      </c>
      <c r="K54" s="66"/>
      <c r="L54" s="61">
        <f>+GETPIVOTDATA("LBS_UPDATED",SALESCONTRACTS!$E$1,"BRANCH_NUMBER",520,"COMMODITY_CODE","01")/60</f>
        <v>0</v>
      </c>
      <c r="M54" s="61">
        <f>+GETPIVOTDATA("LBS_UPDATED",SALESCONTRACTS!$E$1,"BRANCH_NUMBER",520,"COMMODITY_CODE","02")/56</f>
        <v>0</v>
      </c>
      <c r="N54" s="61">
        <f>+GETPIVOTDATA("LBS_UPDATED",SALESCONTRACTS!$E$1,"BRANCH_NUMBER",520,"COMMODITY_CODE","04")/56</f>
        <v>0</v>
      </c>
      <c r="O54" s="61">
        <f>+GETPIVOTDATA("LBS_UPDATED",SALESCONTRACTS!$E$1,"BRANCH_NUMBER",520,"COMMODITY_CODE","03")/60</f>
        <v>0</v>
      </c>
      <c r="P54" s="61">
        <f>+GETPIVOTDATA("LBS_UPDATED",SALESCONTRACTS!$E$1,"BRANCH_NUMBER",520,"COMMODITY_CODE","22")/25</f>
        <v>1214.96</v>
      </c>
      <c r="Q54" s="66">
        <v>0</v>
      </c>
      <c r="R54" s="66">
        <v>0</v>
      </c>
      <c r="S54" s="66">
        <v>0</v>
      </c>
      <c r="T54" s="66">
        <v>0</v>
      </c>
      <c r="U54" s="85">
        <v>10000</v>
      </c>
      <c r="V54" s="85">
        <v>0</v>
      </c>
      <c r="W54" s="82"/>
      <c r="X54" s="80">
        <f t="shared" si="10"/>
        <v>140520.70142857145</v>
      </c>
      <c r="Y54" s="66"/>
      <c r="Z54" s="66">
        <v>233100</v>
      </c>
      <c r="AA54" s="66">
        <v>0</v>
      </c>
      <c r="AB54" s="66">
        <v>0</v>
      </c>
      <c r="AC54" s="122">
        <f t="shared" si="11"/>
        <v>81364.338571428554</v>
      </c>
      <c r="AD54" s="122"/>
      <c r="AE54" s="80">
        <f t="shared" si="12"/>
        <v>92579.298571428546</v>
      </c>
      <c r="AF54" s="66"/>
      <c r="AG54" s="88">
        <v>0</v>
      </c>
      <c r="AH54" s="88">
        <v>0</v>
      </c>
      <c r="AI54" s="91">
        <v>0</v>
      </c>
      <c r="AJ54" s="84">
        <v>0</v>
      </c>
      <c r="AK54" s="82"/>
      <c r="AL54" s="138">
        <v>20000</v>
      </c>
      <c r="AM54" s="84">
        <v>0</v>
      </c>
      <c r="AN54" s="82"/>
      <c r="AO54" s="80">
        <f t="shared" si="13"/>
        <v>72579.298571428546</v>
      </c>
      <c r="AP54" s="63"/>
      <c r="AQ54" s="93">
        <v>0</v>
      </c>
      <c r="AR54" s="93">
        <v>0</v>
      </c>
      <c r="AS54" s="180">
        <v>0</v>
      </c>
      <c r="AT54" s="180">
        <v>0</v>
      </c>
      <c r="AU54" s="180">
        <v>0</v>
      </c>
      <c r="AV54" s="180">
        <v>0</v>
      </c>
      <c r="AW54" s="180">
        <v>0</v>
      </c>
      <c r="AX54" s="184">
        <f t="shared" si="8"/>
        <v>0</v>
      </c>
      <c r="AY54" s="80">
        <f t="shared" si="14"/>
        <v>72579.298571428546</v>
      </c>
      <c r="AZ54" s="180">
        <v>0</v>
      </c>
      <c r="BA54" s="181">
        <v>0</v>
      </c>
      <c r="BB54" s="180">
        <v>0</v>
      </c>
      <c r="BC54" s="180">
        <v>0</v>
      </c>
      <c r="BD54" s="94"/>
      <c r="BE54" s="80">
        <f t="shared" si="15"/>
        <v>72579.298571428546</v>
      </c>
      <c r="BF54" s="180">
        <v>0</v>
      </c>
      <c r="BG54" s="112">
        <v>0</v>
      </c>
      <c r="BH54" s="180">
        <v>0</v>
      </c>
      <c r="BI54" s="115">
        <v>0</v>
      </c>
      <c r="BJ54" s="115">
        <v>0</v>
      </c>
      <c r="BK54" s="107"/>
      <c r="BL54" s="114">
        <f t="shared" si="16"/>
        <v>72579.298571428546</v>
      </c>
    </row>
    <row r="55" spans="1:64" ht="13.8" thickBot="1" x14ac:dyDescent="0.3">
      <c r="A55" s="63">
        <v>530</v>
      </c>
      <c r="B55" s="75" t="s">
        <v>66</v>
      </c>
      <c r="C55" s="61">
        <f>+GETPIVOTDATA("ADJBAL",AGTRAXDATA!$F$1,"BRANCH_NUMBER",530,"COMMODITY_CODE","01")/60</f>
        <v>231193.86666666667</v>
      </c>
      <c r="D55" s="61">
        <f>+GETPIVOTDATA("ADJBAL",AGTRAXDATA!$F$1,"BRANCH_NUMBER",530,"COMMODITY_CODE","02")/56</f>
        <v>10027.910714285714</v>
      </c>
      <c r="E55" s="61">
        <f>+GETPIVOTDATA("ADJBAL",AGTRAXDATA!$F$1,"BRANCH_NUMBER",530,"COMMODITY_CODE","04")/56</f>
        <v>0</v>
      </c>
      <c r="F55" s="61">
        <f>+GETPIVOTDATA("ADJBAL",AGTRAXDATA!$F$1,"BRANCH_NUMBER",530,"COMMODITY_CODE","03")/60</f>
        <v>9415.4333333333325</v>
      </c>
      <c r="G55" s="61">
        <f>+GETPIVOTDATA("ADJBAL",AGTRAXDATA!$F$1,"BRANCH_NUMBER",530,"COMMODITY_CODE","22")/25</f>
        <v>0</v>
      </c>
      <c r="H55" s="76">
        <v>0</v>
      </c>
      <c r="I55" s="76"/>
      <c r="J55" s="80">
        <f t="shared" si="9"/>
        <v>250637.2107142857</v>
      </c>
      <c r="K55" s="66"/>
      <c r="L55" s="61">
        <f>+GETPIVOTDATA("LBS_UPDATED",SALESCONTRACTS!$E$1,"BRANCH_NUMBER",530,"COMMODITY_CODE","01")/60</f>
        <v>0</v>
      </c>
      <c r="M55" s="61">
        <f>+GETPIVOTDATA("LBS_UPDATED",SALESCONTRACTS!$E$1,"BRANCH_NUMBER",530,"COMMODITY_CODE","02")/56</f>
        <v>0</v>
      </c>
      <c r="N55" s="61">
        <f>+GETPIVOTDATA("LBS_UPDATED",SALESCONTRACTS!$E$1,"BRANCH_NUMBER",530,"COMMODITY_CODE","04")/56</f>
        <v>0</v>
      </c>
      <c r="O55" s="61">
        <f>+GETPIVOTDATA("LBS_UPDATED",SALESCONTRACTS!$E$1,"BRANCH_NUMBER",530,"COMMODITY_CODE","03")/60</f>
        <v>0</v>
      </c>
      <c r="P55" s="61">
        <f>+GETPIVOTDATA("LBS_UPDATED",SALESCONTRACTS!$E$1,"BRANCH_NUMBER",530,"COMMODITY_CODE","22")/25</f>
        <v>0</v>
      </c>
      <c r="Q55" s="66">
        <v>0</v>
      </c>
      <c r="R55" s="66">
        <v>0</v>
      </c>
      <c r="S55" s="66">
        <v>0</v>
      </c>
      <c r="T55" s="66">
        <v>0</v>
      </c>
      <c r="U55" s="85">
        <v>0</v>
      </c>
      <c r="V55" s="85">
        <v>0</v>
      </c>
      <c r="W55" s="82"/>
      <c r="X55" s="80">
        <f t="shared" si="10"/>
        <v>250637.2107142857</v>
      </c>
      <c r="Y55" s="66"/>
      <c r="Z55" s="66">
        <v>326700</v>
      </c>
      <c r="AA55" s="66">
        <v>0</v>
      </c>
      <c r="AB55" s="66">
        <v>0</v>
      </c>
      <c r="AC55" s="122">
        <f t="shared" si="11"/>
        <v>76062.789285714302</v>
      </c>
      <c r="AD55" s="122"/>
      <c r="AE55" s="80">
        <f t="shared" si="12"/>
        <v>76062.789285714302</v>
      </c>
      <c r="AF55" s="66"/>
      <c r="AG55" s="88">
        <v>0</v>
      </c>
      <c r="AH55" s="88">
        <v>0</v>
      </c>
      <c r="AI55" s="91">
        <v>0</v>
      </c>
      <c r="AJ55" s="84">
        <v>0</v>
      </c>
      <c r="AK55" s="82" t="s">
        <v>138</v>
      </c>
      <c r="AL55" s="138">
        <v>120000</v>
      </c>
      <c r="AM55" s="84">
        <v>0</v>
      </c>
      <c r="AN55" s="82"/>
      <c r="AO55" s="80">
        <f t="shared" si="13"/>
        <v>-43937.210714285698</v>
      </c>
      <c r="AP55" s="63"/>
      <c r="AQ55" s="93">
        <v>0</v>
      </c>
      <c r="AR55" s="93">
        <v>0</v>
      </c>
      <c r="AS55" s="180">
        <v>0</v>
      </c>
      <c r="AT55" s="180">
        <v>0</v>
      </c>
      <c r="AU55" s="180">
        <v>0</v>
      </c>
      <c r="AV55" s="180">
        <v>0</v>
      </c>
      <c r="AW55" s="180">
        <v>0</v>
      </c>
      <c r="AX55" s="184">
        <f t="shared" si="8"/>
        <v>0</v>
      </c>
      <c r="AY55" s="80">
        <f t="shared" si="14"/>
        <v>-43937.210714285698</v>
      </c>
      <c r="AZ55" s="180">
        <v>0</v>
      </c>
      <c r="BA55" s="181">
        <v>0</v>
      </c>
      <c r="BB55" s="180">
        <v>0</v>
      </c>
      <c r="BC55" s="180">
        <v>0</v>
      </c>
      <c r="BD55" s="94"/>
      <c r="BE55" s="80">
        <f t="shared" si="15"/>
        <v>-43937.210714285698</v>
      </c>
      <c r="BF55" s="115">
        <v>20000</v>
      </c>
      <c r="BG55" s="115">
        <v>10000</v>
      </c>
      <c r="BH55" s="180">
        <v>0</v>
      </c>
      <c r="BI55" s="115">
        <v>10000</v>
      </c>
      <c r="BJ55" s="115">
        <v>0</v>
      </c>
      <c r="BK55" s="107"/>
      <c r="BL55" s="114">
        <f t="shared" si="16"/>
        <v>-3937.2107142856985</v>
      </c>
    </row>
    <row r="56" spans="1:64" ht="13.8" thickBot="1" x14ac:dyDescent="0.3">
      <c r="A56" s="63">
        <v>540</v>
      </c>
      <c r="B56" s="75" t="s">
        <v>67</v>
      </c>
      <c r="C56" s="61">
        <f>+GETPIVOTDATA("ADJBAL",AGTRAXDATA!$F$1,"BRANCH_NUMBER",540,"COMMODITY_CODE","01")/60</f>
        <v>0</v>
      </c>
      <c r="D56" s="61">
        <f>+GETPIVOTDATA("ADJBAL",AGTRAXDATA!$F$1,"BRANCH_NUMBER",540,"COMMODITY_CODE","02")/56</f>
        <v>36914.625</v>
      </c>
      <c r="E56" s="61">
        <f>+GETPIVOTDATA("ADJBAL",AGTRAXDATA!$F$1,"BRANCH_NUMBER",540,"COMMODITY_CODE","04")/56</f>
        <v>103418.32142857143</v>
      </c>
      <c r="F56" s="61">
        <f>+GETPIVOTDATA("ADJBAL",AGTRAXDATA!$F$1,"BRANCH_NUMBER",540,"COMMODITY_CODE","03")/60</f>
        <v>135995.86666666667</v>
      </c>
      <c r="G56" s="61">
        <f>+GETPIVOTDATA("ADJBAL",AGTRAXDATA!$F$1,"BRANCH_NUMBER",540,"COMMODITY_CODE","22")/25</f>
        <v>0</v>
      </c>
      <c r="H56" s="76">
        <v>0</v>
      </c>
      <c r="I56" s="76"/>
      <c r="J56" s="80">
        <f t="shared" si="9"/>
        <v>276328.81309523806</v>
      </c>
      <c r="K56" s="66"/>
      <c r="L56" s="61">
        <f>+GETPIVOTDATA("LBS_UPDATED",SALESCONTRACTS!$E$1,"BRANCH_NUMBER",540,"COMMODITY_CODE","01")/60</f>
        <v>0</v>
      </c>
      <c r="M56" s="61">
        <f>+GETPIVOTDATA("LBS_UPDATED",SALESCONTRACTS!$E$1,"BRANCH_NUMBER",540,"COMMODITY_CODE","02")/56</f>
        <v>1324.3392857142858</v>
      </c>
      <c r="N56" s="61">
        <f>+GETPIVOTDATA("LBS_UPDATED",SALESCONTRACTS!$E$1,"BRANCH_NUMBER",540,"COMMODITY_CODE","04")/56</f>
        <v>0</v>
      </c>
      <c r="O56" s="61">
        <f>+GETPIVOTDATA("LBS_UPDATED",SALESCONTRACTS!$E$1,"BRANCH_NUMBER",540,"COMMODITY_CODE","03")/60</f>
        <v>0</v>
      </c>
      <c r="P56" s="61">
        <f>+GETPIVOTDATA("LBS_UPDATED",SALESCONTRACTS!$E$1,"BRANCH_NUMBER",540,"COMMODITY_CODE","22")/25</f>
        <v>0</v>
      </c>
      <c r="Q56" s="66">
        <v>0</v>
      </c>
      <c r="R56" s="66">
        <v>0</v>
      </c>
      <c r="S56" s="66">
        <v>0</v>
      </c>
      <c r="T56" s="66">
        <v>0</v>
      </c>
      <c r="U56" s="85">
        <v>0</v>
      </c>
      <c r="V56" s="85">
        <v>55000</v>
      </c>
      <c r="W56" s="82"/>
      <c r="X56" s="80">
        <f t="shared" si="10"/>
        <v>220004.4738095238</v>
      </c>
      <c r="Y56" s="66"/>
      <c r="Z56" s="66">
        <v>376200</v>
      </c>
      <c r="AA56" s="66">
        <v>0</v>
      </c>
      <c r="AB56" s="66">
        <v>0</v>
      </c>
      <c r="AC56" s="122">
        <f t="shared" si="11"/>
        <v>99871.18690476194</v>
      </c>
      <c r="AD56" s="122"/>
      <c r="AE56" s="80">
        <f t="shared" si="12"/>
        <v>156195.5261904762</v>
      </c>
      <c r="AF56" s="66"/>
      <c r="AG56" s="88">
        <v>0</v>
      </c>
      <c r="AH56" s="88">
        <v>0</v>
      </c>
      <c r="AI56" s="91">
        <v>0</v>
      </c>
      <c r="AJ56" s="84">
        <v>0</v>
      </c>
      <c r="AK56" s="82"/>
      <c r="AL56" s="138">
        <v>400000</v>
      </c>
      <c r="AM56" s="84">
        <v>0</v>
      </c>
      <c r="AN56" s="82"/>
      <c r="AO56" s="80">
        <f t="shared" si="13"/>
        <v>-243804.4738095238</v>
      </c>
      <c r="AP56" s="63"/>
      <c r="AQ56" s="93">
        <v>0</v>
      </c>
      <c r="AR56" s="93">
        <v>0</v>
      </c>
      <c r="AS56" s="180">
        <v>0</v>
      </c>
      <c r="AT56" s="180">
        <v>0</v>
      </c>
      <c r="AU56" s="67">
        <v>48000</v>
      </c>
      <c r="AV56" s="180">
        <v>0</v>
      </c>
      <c r="AW56" s="180">
        <v>0</v>
      </c>
      <c r="AX56" s="184">
        <f t="shared" si="8"/>
        <v>48000</v>
      </c>
      <c r="AY56" s="80">
        <f t="shared" si="14"/>
        <v>-195804.4738095238</v>
      </c>
      <c r="AZ56" s="180">
        <v>0</v>
      </c>
      <c r="BA56" s="181">
        <v>0</v>
      </c>
      <c r="BB56" s="180">
        <v>0</v>
      </c>
      <c r="BC56" s="180">
        <v>0</v>
      </c>
      <c r="BD56" s="94"/>
      <c r="BE56" s="80">
        <f t="shared" si="15"/>
        <v>-195804.4738095238</v>
      </c>
      <c r="BF56" s="115">
        <v>0</v>
      </c>
      <c r="BG56" s="64">
        <v>36000</v>
      </c>
      <c r="BH56" s="180">
        <v>0</v>
      </c>
      <c r="BI56" s="64">
        <v>136000</v>
      </c>
      <c r="BJ56" s="115">
        <v>0</v>
      </c>
      <c r="BK56" s="107"/>
      <c r="BL56" s="114">
        <f t="shared" si="16"/>
        <v>-23804.473809523799</v>
      </c>
    </row>
    <row r="57" spans="1:64" ht="13.8" thickBot="1" x14ac:dyDescent="0.3">
      <c r="A57" s="63">
        <v>541</v>
      </c>
      <c r="B57" s="75" t="s">
        <v>165</v>
      </c>
      <c r="C57" s="61">
        <f>+GETPIVOTDATA("ADJBAL",AGTRAXDATA!$F$1,"BRANCH_NUMBER",541,"COMMODITY_CODE","01")/60</f>
        <v>396527.6</v>
      </c>
      <c r="D57" s="61">
        <f>+GETPIVOTDATA("ADJBAL",AGTRAXDATA!$F$1,"BRANCH_NUMBER",541,"COMMODITY_CODE","02")/56</f>
        <v>46262.767857142855</v>
      </c>
      <c r="E57" s="61">
        <f>+GETPIVOTDATA("ADJBAL",AGTRAXDATA!$F$1,"BRANCH_NUMBER",541,"COMMODITY_CODE","04")/56</f>
        <v>203497.92857142858</v>
      </c>
      <c r="F57" s="61">
        <f>+GETPIVOTDATA("ADJBAL",AGTRAXDATA!$F$1,"BRANCH_NUMBER",541,"COMMODITY_CODE","03")/60</f>
        <v>59990.616666666669</v>
      </c>
      <c r="G57" s="61">
        <f>+GETPIVOTDATA("ADJBAL",AGTRAXDATA!$F$1,"BRANCH_NUMBER",541,"COMMODITY_CODE","22")/25</f>
        <v>0</v>
      </c>
      <c r="H57" s="76">
        <v>0</v>
      </c>
      <c r="I57" s="76"/>
      <c r="J57" s="80">
        <f t="shared" si="9"/>
        <v>706278.91309523815</v>
      </c>
      <c r="K57" s="66"/>
      <c r="L57" s="61">
        <f>+GETPIVOTDATA("LBS_UPDATED",SALESCONTRACTS!$E$1,"BRANCH_NUMBER",541,"COMMODITY_CODE","01")/60</f>
        <v>0</v>
      </c>
      <c r="M57" s="61">
        <f>+GETPIVOTDATA("LBS_UPDATED",SALESCONTRACTS!$E$1,"BRANCH_NUMBER",541,"COMMODITY_CODE","02")/56</f>
        <v>0</v>
      </c>
      <c r="N57" s="61">
        <f>+GETPIVOTDATA("LBS_UPDATED",SALESCONTRACTS!$E$1,"BRANCH_NUMBER",541,"COMMODITY_CODE","04")/56</f>
        <v>967.5</v>
      </c>
      <c r="O57" s="61">
        <f>+GETPIVOTDATA("LBS_UPDATED",SALESCONTRACTS!$E$1,"BRANCH_NUMBER",541,"COMMODITY_CODE","03")/60</f>
        <v>0</v>
      </c>
      <c r="P57" s="61">
        <f>+GETPIVOTDATA("LBS_UPDATED",SALESCONTRACTS!$E$1,"BRANCH_NUMBER",541,"COMMODITY_CODE","22")/25</f>
        <v>0</v>
      </c>
      <c r="Q57" s="66">
        <v>0</v>
      </c>
      <c r="R57" s="66">
        <v>0</v>
      </c>
      <c r="S57" s="66">
        <v>0</v>
      </c>
      <c r="T57" s="66">
        <v>0</v>
      </c>
      <c r="U57" s="85">
        <v>0</v>
      </c>
      <c r="V57" s="85">
        <v>0</v>
      </c>
      <c r="W57" s="82"/>
      <c r="X57" s="80">
        <f t="shared" si="10"/>
        <v>705311.41309523815</v>
      </c>
      <c r="Y57" s="66"/>
      <c r="Z57" s="66">
        <v>1053000</v>
      </c>
      <c r="AA57" s="66">
        <v>0</v>
      </c>
      <c r="AB57" s="66">
        <v>0</v>
      </c>
      <c r="AC57" s="122">
        <f t="shared" si="11"/>
        <v>346721.08690476185</v>
      </c>
      <c r="AD57" s="122"/>
      <c r="AE57" s="80">
        <f t="shared" si="12"/>
        <v>347688.58690476185</v>
      </c>
      <c r="AF57" s="66"/>
      <c r="AG57" s="88">
        <v>0</v>
      </c>
      <c r="AH57" s="88">
        <v>0</v>
      </c>
      <c r="AI57" s="91">
        <v>0</v>
      </c>
      <c r="AJ57" s="84">
        <v>0</v>
      </c>
      <c r="AK57" s="82"/>
      <c r="AL57" s="138">
        <v>420000</v>
      </c>
      <c r="AM57" s="84">
        <v>0</v>
      </c>
      <c r="AN57" s="82"/>
      <c r="AO57" s="80">
        <f t="shared" si="13"/>
        <v>-72311.413095238153</v>
      </c>
      <c r="AP57" s="63"/>
      <c r="AQ57" s="93">
        <v>0</v>
      </c>
      <c r="AR57" s="93">
        <v>0</v>
      </c>
      <c r="AS57" s="180">
        <v>0</v>
      </c>
      <c r="AT57" s="180">
        <v>0</v>
      </c>
      <c r="AU57" s="117">
        <v>45000</v>
      </c>
      <c r="AV57" s="180">
        <v>0</v>
      </c>
      <c r="AW57" s="180">
        <v>0</v>
      </c>
      <c r="AX57" s="184">
        <f t="shared" si="8"/>
        <v>45000</v>
      </c>
      <c r="AY57" s="80">
        <f t="shared" si="14"/>
        <v>-27311.413095238153</v>
      </c>
      <c r="AZ57" s="180">
        <v>0</v>
      </c>
      <c r="BA57" s="181">
        <v>0</v>
      </c>
      <c r="BB57" s="180">
        <v>0</v>
      </c>
      <c r="BC57" s="180">
        <v>0</v>
      </c>
      <c r="BD57" s="94"/>
      <c r="BE57" s="80">
        <f t="shared" si="15"/>
        <v>-27311.413095238153</v>
      </c>
      <c r="BF57" s="115">
        <v>0</v>
      </c>
      <c r="BG57" s="115">
        <v>46000</v>
      </c>
      <c r="BH57" s="180">
        <v>0</v>
      </c>
      <c r="BI57" s="115">
        <v>0</v>
      </c>
      <c r="BJ57" s="115">
        <v>0</v>
      </c>
      <c r="BK57" s="107"/>
      <c r="BL57" s="114">
        <f t="shared" si="16"/>
        <v>18688.586904761847</v>
      </c>
    </row>
    <row r="58" spans="1:64" ht="13.8" thickBot="1" x14ac:dyDescent="0.3">
      <c r="A58" s="63">
        <v>542</v>
      </c>
      <c r="B58" s="75" t="s">
        <v>166</v>
      </c>
      <c r="C58" s="61">
        <f>+GETPIVOTDATA("ADJBAL",AGTRAXDATA!$F$1,"BRANCH_NUMBER",542,"COMMODITY_CODE","01")/60</f>
        <v>567105.93333333335</v>
      </c>
      <c r="D58" s="61">
        <f>+GETPIVOTDATA("ADJBAL",AGTRAXDATA!$F$1,"BRANCH_NUMBER",542,"COMMODITY_CODE","02")/56</f>
        <v>166634.42857142858</v>
      </c>
      <c r="E58" s="61">
        <f>+GETPIVOTDATA("ADJBAL",AGTRAXDATA!$F$1,"BRANCH_NUMBER",542,"COMMODITY_CODE","04")/56</f>
        <v>0</v>
      </c>
      <c r="F58" s="61">
        <f>+GETPIVOTDATA("ADJBAL",AGTRAXDATA!$F$1,"BRANCH_NUMBER",542,"COMMODITY_CODE","03")/60</f>
        <v>52952.466666666667</v>
      </c>
      <c r="G58" s="61">
        <f>+GETPIVOTDATA("ADJBAL",AGTRAXDATA!$F$1,"BRANCH_NUMBER",542,"COMMODITY_CODE","22")/25</f>
        <v>0</v>
      </c>
      <c r="H58" s="76">
        <v>0</v>
      </c>
      <c r="I58" s="76"/>
      <c r="J58" s="80">
        <f t="shared" si="9"/>
        <v>786692.82857142866</v>
      </c>
      <c r="K58" s="66"/>
      <c r="L58" s="61">
        <f>+GETPIVOTDATA("LBS_UPDATED",SALESCONTRACTS!$E$1,"BRANCH_NUMBER",542,"COMMODITY_CODE","01")/60</f>
        <v>0</v>
      </c>
      <c r="M58" s="61">
        <f>+GETPIVOTDATA("LBS_UPDATED",SALESCONTRACTS!$E$1,"BRANCH_NUMBER",542,"COMMODITY_CODE","02")/56</f>
        <v>0</v>
      </c>
      <c r="N58" s="61">
        <f>+GETPIVOTDATA("LBS_UPDATED",SALESCONTRACTS!$E$1,"BRANCH_NUMBER",542,"COMMODITY_CODE","04")/56</f>
        <v>0</v>
      </c>
      <c r="O58" s="61">
        <f>+GETPIVOTDATA("LBS_UPDATED",SALESCONTRACTS!$E$1,"BRANCH_NUMBER",542,"COMMODITY_CODE","03")/60</f>
        <v>0</v>
      </c>
      <c r="P58" s="61">
        <f>+GETPIVOTDATA("LBS_UPDATED",SALESCONTRACTS!$E$1,"BRANCH_NUMBER",542,"COMMODITY_CODE","22")/25</f>
        <v>0</v>
      </c>
      <c r="Q58" s="66">
        <v>0</v>
      </c>
      <c r="R58" s="66">
        <v>0</v>
      </c>
      <c r="S58" s="66">
        <v>0</v>
      </c>
      <c r="T58" s="66">
        <v>0</v>
      </c>
      <c r="U58" s="85">
        <v>0</v>
      </c>
      <c r="V58" s="85">
        <v>0</v>
      </c>
      <c r="W58" s="82"/>
      <c r="X58" s="80">
        <f t="shared" si="10"/>
        <v>786692.82857142866</v>
      </c>
      <c r="Y58" s="66"/>
      <c r="Z58" s="66">
        <v>828900</v>
      </c>
      <c r="AA58" s="66">
        <v>211500</v>
      </c>
      <c r="AB58" s="66">
        <v>0</v>
      </c>
      <c r="AC58" s="122">
        <f t="shared" si="11"/>
        <v>253707.17142857134</v>
      </c>
      <c r="AD58" s="122"/>
      <c r="AE58" s="80">
        <f t="shared" si="12"/>
        <v>253707.17142857134</v>
      </c>
      <c r="AF58" s="66"/>
      <c r="AG58" s="88">
        <v>0</v>
      </c>
      <c r="AH58" s="88">
        <v>0</v>
      </c>
      <c r="AI58" s="91">
        <v>0</v>
      </c>
      <c r="AJ58" s="84">
        <v>0</v>
      </c>
      <c r="AK58" s="82"/>
      <c r="AL58" s="138">
        <v>350000</v>
      </c>
      <c r="AM58" s="84">
        <v>0</v>
      </c>
      <c r="AN58" s="82"/>
      <c r="AO58" s="80">
        <f t="shared" si="13"/>
        <v>-96292.828571428661</v>
      </c>
      <c r="AP58" s="63"/>
      <c r="AQ58" s="93">
        <v>0</v>
      </c>
      <c r="AR58" s="93">
        <v>0</v>
      </c>
      <c r="AS58" s="180">
        <v>0</v>
      </c>
      <c r="AT58" s="115">
        <v>70000</v>
      </c>
      <c r="AU58" s="180">
        <v>0</v>
      </c>
      <c r="AV58" s="180">
        <v>0</v>
      </c>
      <c r="AW58" s="180">
        <v>0</v>
      </c>
      <c r="AX58" s="184">
        <f t="shared" si="8"/>
        <v>70000</v>
      </c>
      <c r="AY58" s="80">
        <f t="shared" si="14"/>
        <v>-26292.828571428661</v>
      </c>
      <c r="AZ58" s="180">
        <v>0</v>
      </c>
      <c r="BA58" s="181">
        <v>0</v>
      </c>
      <c r="BB58" s="180">
        <v>0</v>
      </c>
      <c r="BC58" s="180">
        <v>0</v>
      </c>
      <c r="BD58" s="94"/>
      <c r="BE58" s="80">
        <f t="shared" si="15"/>
        <v>-26292.828571428661</v>
      </c>
      <c r="BF58" s="115">
        <v>0</v>
      </c>
      <c r="BG58" s="63">
        <v>0</v>
      </c>
      <c r="BH58" s="180">
        <v>0</v>
      </c>
      <c r="BI58" s="115">
        <v>0</v>
      </c>
      <c r="BJ58" s="115">
        <v>0</v>
      </c>
      <c r="BK58" s="107"/>
      <c r="BL58" s="114">
        <f t="shared" si="16"/>
        <v>-26292.828571428661</v>
      </c>
    </row>
    <row r="59" spans="1:64" ht="13.8" thickBot="1" x14ac:dyDescent="0.3">
      <c r="A59" s="63">
        <v>543</v>
      </c>
      <c r="B59" s="75" t="s">
        <v>167</v>
      </c>
      <c r="C59" s="61">
        <f>+GETPIVOTDATA("ADJBAL",AGTRAXDATA!$F$1,"BRANCH_NUMBER",543,"COMMODITY_CODE","01")/60</f>
        <v>476791.16666666669</v>
      </c>
      <c r="D59" s="61">
        <f>+GETPIVOTDATA("ADJBAL",AGTRAXDATA!$F$1,"BRANCH_NUMBER",543,"COMMODITY_CODE","02")/56</f>
        <v>249648.94642857142</v>
      </c>
      <c r="E59" s="61">
        <f>+GETPIVOTDATA("ADJBAL",AGTRAXDATA!$F$1,"BRANCH_NUMBER",543,"COMMODITY_CODE","04")/56</f>
        <v>39315.625</v>
      </c>
      <c r="F59" s="61">
        <f>+GETPIVOTDATA("ADJBAL",AGTRAXDATA!$F$1,"BRANCH_NUMBER",543,"COMMODITY_CODE","03")/60</f>
        <v>18969.05</v>
      </c>
      <c r="G59" s="61">
        <f>+GETPIVOTDATA("ADJBAL",AGTRAXDATA!$F$1,"BRANCH_NUMBER",543,"COMMODITY_CODE","22")/25</f>
        <v>0</v>
      </c>
      <c r="H59" s="76">
        <v>0</v>
      </c>
      <c r="I59" s="76"/>
      <c r="J59" s="80">
        <f t="shared" si="9"/>
        <v>784724.78809523815</v>
      </c>
      <c r="K59" s="66"/>
      <c r="L59" s="61">
        <f>+GETPIVOTDATA("LBS_UPDATED",SALESCONTRACTS!$E$1,"BRANCH_NUMBER",543,"COMMODITY_CODE","01")/60</f>
        <v>19591.216666666667</v>
      </c>
      <c r="M59" s="61">
        <f>+GETPIVOTDATA("LBS_UPDATED",SALESCONTRACTS!$E$1,"BRANCH_NUMBER",543,"COMMODITY_CODE","02")/56</f>
        <v>0</v>
      </c>
      <c r="N59" s="61">
        <f>+GETPIVOTDATA("LBS_UPDATED",SALESCONTRACTS!$E$1,"BRANCH_NUMBER",543,"COMMODITY_CODE","04")/56</f>
        <v>0</v>
      </c>
      <c r="O59" s="61">
        <f>+GETPIVOTDATA("LBS_UPDATED",SALESCONTRACTS!$E$1,"BRANCH_NUMBER",543,"COMMODITY_CODE","03")/60</f>
        <v>0</v>
      </c>
      <c r="P59" s="61">
        <f>+GETPIVOTDATA("LBS_UPDATED",SALESCONTRACTS!$E$1,"BRANCH_NUMBER",543,"COMMODITY_CODE","22")/25</f>
        <v>0</v>
      </c>
      <c r="Q59" s="66">
        <v>0</v>
      </c>
      <c r="R59" s="66">
        <v>0</v>
      </c>
      <c r="S59" s="66">
        <v>0</v>
      </c>
      <c r="T59" s="66">
        <v>0</v>
      </c>
      <c r="U59" s="85">
        <v>0</v>
      </c>
      <c r="V59" s="85">
        <v>0</v>
      </c>
      <c r="W59" s="82"/>
      <c r="X59" s="80">
        <f t="shared" si="10"/>
        <v>765133.57142857148</v>
      </c>
      <c r="Y59" s="66"/>
      <c r="Z59" s="66">
        <v>490000</v>
      </c>
      <c r="AA59" s="66">
        <v>950000</v>
      </c>
      <c r="AB59" s="66">
        <v>0</v>
      </c>
      <c r="AC59" s="122">
        <f t="shared" si="11"/>
        <v>655275.21190476185</v>
      </c>
      <c r="AD59" s="122"/>
      <c r="AE59" s="80">
        <f t="shared" si="12"/>
        <v>674866.42857142852</v>
      </c>
      <c r="AF59" s="66"/>
      <c r="AG59" s="88">
        <v>0</v>
      </c>
      <c r="AH59" s="88">
        <v>0</v>
      </c>
      <c r="AI59" s="91">
        <v>0</v>
      </c>
      <c r="AJ59" s="84">
        <v>0</v>
      </c>
      <c r="AK59" s="82"/>
      <c r="AL59" s="138">
        <v>800000</v>
      </c>
      <c r="AM59" s="84">
        <v>0</v>
      </c>
      <c r="AN59" s="82"/>
      <c r="AO59" s="80">
        <f t="shared" si="13"/>
        <v>-125133.57142857148</v>
      </c>
      <c r="AP59" s="63"/>
      <c r="AQ59" s="93">
        <v>0</v>
      </c>
      <c r="AR59" s="93">
        <v>0</v>
      </c>
      <c r="AS59" s="64">
        <v>217000</v>
      </c>
      <c r="AT59" s="180">
        <v>0</v>
      </c>
      <c r="AU59" s="180">
        <v>0</v>
      </c>
      <c r="AV59" s="180">
        <v>0</v>
      </c>
      <c r="AW59" s="180">
        <v>0</v>
      </c>
      <c r="AX59" s="184">
        <f t="shared" si="8"/>
        <v>217000</v>
      </c>
      <c r="AY59" s="80">
        <f t="shared" si="14"/>
        <v>91866.428571428522</v>
      </c>
      <c r="AZ59" s="64">
        <v>40000</v>
      </c>
      <c r="BA59" s="181">
        <v>0</v>
      </c>
      <c r="BB59" s="180">
        <v>0</v>
      </c>
      <c r="BC59" s="180">
        <v>0</v>
      </c>
      <c r="BD59" s="94"/>
      <c r="BE59" s="80">
        <f t="shared" si="15"/>
        <v>131866.42857142852</v>
      </c>
      <c r="BF59" s="115">
        <v>0</v>
      </c>
      <c r="BG59" s="63">
        <v>0</v>
      </c>
      <c r="BH59" s="180">
        <v>0</v>
      </c>
      <c r="BI59" s="115">
        <v>0</v>
      </c>
      <c r="BJ59" s="115">
        <v>0</v>
      </c>
      <c r="BK59" s="107"/>
      <c r="BL59" s="114">
        <f t="shared" si="16"/>
        <v>131866.42857142852</v>
      </c>
    </row>
    <row r="60" spans="1:64" ht="13.8" thickBot="1" x14ac:dyDescent="0.3">
      <c r="A60" s="63">
        <v>544</v>
      </c>
      <c r="B60" s="75" t="s">
        <v>168</v>
      </c>
      <c r="C60" s="61">
        <f>+GETPIVOTDATA("ADJBAL",AGTRAXDATA!$F$1,"BRANCH_NUMBER",544,"COMMODITY_CODE","01")/60</f>
        <v>261806.81666666668</v>
      </c>
      <c r="D60" s="61">
        <f>+GETPIVOTDATA("ADJBAL",AGTRAXDATA!$F$1,"BRANCH_NUMBER",544,"COMMODITY_CODE","02")/56</f>
        <v>367589.83928571426</v>
      </c>
      <c r="E60" s="61">
        <f>+GETPIVOTDATA("ADJBAL",AGTRAXDATA!$F$1,"BRANCH_NUMBER",544,"COMMODITY_CODE","04")/56</f>
        <v>1480.9821428571429</v>
      </c>
      <c r="F60" s="61">
        <f>+GETPIVOTDATA("ADJBAL",AGTRAXDATA!$F$1,"BRANCH_NUMBER",544,"COMMODITY_CODE","03")/60</f>
        <v>69904.933333333334</v>
      </c>
      <c r="G60" s="61">
        <f>+GETPIVOTDATA("ADJBAL",AGTRAXDATA!$F$1,"BRANCH_NUMBER",544,"COMMODITY_CODE","22")/25</f>
        <v>0</v>
      </c>
      <c r="H60" s="76">
        <v>0</v>
      </c>
      <c r="I60" s="76"/>
      <c r="J60" s="80">
        <f t="shared" si="9"/>
        <v>700782.57142857148</v>
      </c>
      <c r="K60" s="66"/>
      <c r="L60" s="61">
        <f>+GETPIVOTDATA("LBS_UPDATED",SALESCONTRACTS!$E$1,"BRANCH_NUMBER",544,"COMMODITY_CODE","01")/60</f>
        <v>128.19999999999999</v>
      </c>
      <c r="M60" s="61">
        <f>+GETPIVOTDATA("LBS_UPDATED",SALESCONTRACTS!$E$1,"BRANCH_NUMBER",544,"COMMODITY_CODE","02")/56</f>
        <v>0</v>
      </c>
      <c r="N60" s="61">
        <f>+GETPIVOTDATA("LBS_UPDATED",SALESCONTRACTS!$E$1,"BRANCH_NUMBER",544,"COMMODITY_CODE","04")/56</f>
        <v>0</v>
      </c>
      <c r="O60" s="61">
        <f>+GETPIVOTDATA("LBS_UPDATED",SALESCONTRACTS!$E$1,"BRANCH_NUMBER",544,"COMMODITY_CODE","03")/60</f>
        <v>0</v>
      </c>
      <c r="P60" s="61">
        <f>+GETPIVOTDATA("LBS_UPDATED",SALESCONTRACTS!$E$1,"BRANCH_NUMBER",544,"COMMODITY_CODE","22")/25</f>
        <v>0</v>
      </c>
      <c r="Q60" s="66">
        <v>0</v>
      </c>
      <c r="R60" s="66">
        <v>0</v>
      </c>
      <c r="S60" s="66">
        <v>0</v>
      </c>
      <c r="T60" s="66">
        <v>0</v>
      </c>
      <c r="U60" s="85">
        <v>0</v>
      </c>
      <c r="V60" s="85">
        <v>0</v>
      </c>
      <c r="W60" s="82"/>
      <c r="X60" s="80">
        <f t="shared" si="10"/>
        <v>700654.37142857153</v>
      </c>
      <c r="Y60" s="66"/>
      <c r="Z60" s="66">
        <v>839000</v>
      </c>
      <c r="AA60" s="66">
        <v>0</v>
      </c>
      <c r="AB60" s="66">
        <v>0</v>
      </c>
      <c r="AC60" s="122">
        <f t="shared" si="11"/>
        <v>138217.42857142852</v>
      </c>
      <c r="AD60" s="122"/>
      <c r="AE60" s="80">
        <f t="shared" si="12"/>
        <v>138345.62857142847</v>
      </c>
      <c r="AF60" s="66"/>
      <c r="AG60" s="88">
        <v>0</v>
      </c>
      <c r="AH60" s="88">
        <v>0</v>
      </c>
      <c r="AI60" s="91">
        <v>0</v>
      </c>
      <c r="AJ60" s="84">
        <v>0</v>
      </c>
      <c r="AK60" s="82"/>
      <c r="AL60" s="138">
        <v>750000</v>
      </c>
      <c r="AM60" s="84">
        <v>0</v>
      </c>
      <c r="AN60" s="82"/>
      <c r="AO60" s="80">
        <f t="shared" si="13"/>
        <v>-611654.37142857153</v>
      </c>
      <c r="AP60" s="63"/>
      <c r="AQ60" s="93">
        <v>0</v>
      </c>
      <c r="AR60" s="93">
        <v>0</v>
      </c>
      <c r="AS60" s="64">
        <v>80000</v>
      </c>
      <c r="AT60" s="64">
        <v>338000</v>
      </c>
      <c r="AU60" s="180">
        <v>0</v>
      </c>
      <c r="AV60" s="115">
        <v>70000</v>
      </c>
      <c r="AW60" s="180">
        <v>0</v>
      </c>
      <c r="AX60" s="184">
        <f t="shared" si="8"/>
        <v>488000</v>
      </c>
      <c r="AY60" s="80">
        <f t="shared" si="14"/>
        <v>-123654.37142857153</v>
      </c>
      <c r="AZ60" s="180">
        <v>0</v>
      </c>
      <c r="BA60" s="181">
        <v>0</v>
      </c>
      <c r="BB60" s="180">
        <v>0</v>
      </c>
      <c r="BC60" s="180">
        <v>0</v>
      </c>
      <c r="BD60" s="94"/>
      <c r="BE60" s="80">
        <f t="shared" si="15"/>
        <v>-123654.37142857153</v>
      </c>
      <c r="BF60" s="115">
        <v>100000</v>
      </c>
      <c r="BG60" s="63">
        <v>0</v>
      </c>
      <c r="BH60" s="180">
        <v>0</v>
      </c>
      <c r="BI60" s="115">
        <v>0</v>
      </c>
      <c r="BJ60" s="115">
        <v>0</v>
      </c>
      <c r="BK60" s="107"/>
      <c r="BL60" s="114">
        <f t="shared" si="16"/>
        <v>-23654.371428571525</v>
      </c>
    </row>
    <row r="61" spans="1:64" ht="13.8" thickBot="1" x14ac:dyDescent="0.3">
      <c r="A61" s="63">
        <v>545</v>
      </c>
      <c r="B61" s="75" t="s">
        <v>169</v>
      </c>
      <c r="C61" s="61">
        <f>+GETPIVOTDATA("ADJBAL",AGTRAXDATA!$F$1,"BRANCH_NUMBER",545,"COMMODITY_CODE","01")/60</f>
        <v>88472.6</v>
      </c>
      <c r="D61" s="61">
        <f>+GETPIVOTDATA("ADJBAL",AGTRAXDATA!$F$1,"BRANCH_NUMBER",545,"COMMODITY_CODE","02")/56</f>
        <v>251912.03571428571</v>
      </c>
      <c r="E61" s="61">
        <f>+GETPIVOTDATA("ADJBAL",AGTRAXDATA!$F$1,"BRANCH_NUMBER",545,"COMMODITY_CODE","04")/56</f>
        <v>0</v>
      </c>
      <c r="F61" s="61">
        <f>+GETPIVOTDATA("ADJBAL",AGTRAXDATA!$F$1,"BRANCH_NUMBER",545,"COMMODITY_CODE","03")/60</f>
        <v>49512.916666666664</v>
      </c>
      <c r="G61" s="61">
        <f>+GETPIVOTDATA("ADJBAL",AGTRAXDATA!$F$1,"BRANCH_NUMBER",545,"COMMODITY_CODE","22")/60</f>
        <v>0</v>
      </c>
      <c r="H61" s="76">
        <v>0</v>
      </c>
      <c r="I61" s="76"/>
      <c r="J61" s="80">
        <f t="shared" si="9"/>
        <v>389897.5523809524</v>
      </c>
      <c r="K61" s="66"/>
      <c r="L61" s="61">
        <f>+GETPIVOTDATA("LBS_UPDATED",SALESCONTRACTS!$E$1,"BRANCH_NUMBER",545,"COMMODITY_CODE","01")/60</f>
        <v>0</v>
      </c>
      <c r="M61" s="61">
        <f>+GETPIVOTDATA("LBS_UPDATED",SALESCONTRACTS!$E$1,"BRANCH_NUMBER",545,"COMMODITY_CODE","02")/56</f>
        <v>0</v>
      </c>
      <c r="N61" s="61">
        <f>+GETPIVOTDATA("LBS_UPDATED",SALESCONTRACTS!$E$1,"BRANCH_NUMBER",545,"COMMODITY_CODE","04")/56</f>
        <v>20.714285714285715</v>
      </c>
      <c r="O61" s="61">
        <f>+GETPIVOTDATA("LBS_UPDATED",SALESCONTRACTS!$E$1,"BRANCH_NUMBER",545,"COMMODITY_CODE","03")/60</f>
        <v>0</v>
      </c>
      <c r="P61" s="61">
        <f>+GETPIVOTDATA("LBS_UPDATED",SALESCONTRACTS!$E$1,"BRANCH_NUMBER",545,"COMMODITY_CODE","22")/25</f>
        <v>0</v>
      </c>
      <c r="Q61" s="66">
        <v>0</v>
      </c>
      <c r="R61" s="66">
        <v>0</v>
      </c>
      <c r="S61" s="66">
        <v>0</v>
      </c>
      <c r="T61" s="66">
        <v>0</v>
      </c>
      <c r="U61" s="85">
        <v>0</v>
      </c>
      <c r="V61" s="85">
        <v>0</v>
      </c>
      <c r="W61" s="82"/>
      <c r="X61" s="80">
        <f t="shared" si="10"/>
        <v>389876.83809523814</v>
      </c>
      <c r="Y61" s="66"/>
      <c r="Z61" s="66">
        <v>529000</v>
      </c>
      <c r="AA61" s="66">
        <v>0</v>
      </c>
      <c r="AB61" s="66">
        <v>0</v>
      </c>
      <c r="AC61" s="122">
        <f t="shared" si="11"/>
        <v>139102.4476190476</v>
      </c>
      <c r="AD61" s="122"/>
      <c r="AE61" s="80">
        <f t="shared" si="12"/>
        <v>139123.16190476186</v>
      </c>
      <c r="AF61" s="66"/>
      <c r="AG61" s="88">
        <v>0</v>
      </c>
      <c r="AH61" s="88">
        <v>0</v>
      </c>
      <c r="AI61" s="91">
        <v>0</v>
      </c>
      <c r="AJ61" s="84">
        <v>0</v>
      </c>
      <c r="AK61" s="82"/>
      <c r="AL61" s="138">
        <v>450000</v>
      </c>
      <c r="AM61" s="84">
        <v>0</v>
      </c>
      <c r="AN61" s="82"/>
      <c r="AO61" s="80">
        <f t="shared" si="13"/>
        <v>-310876.83809523814</v>
      </c>
      <c r="AP61" s="63"/>
      <c r="AQ61" s="93">
        <v>0</v>
      </c>
      <c r="AR61" s="93">
        <v>0</v>
      </c>
      <c r="AS61" s="180">
        <v>0</v>
      </c>
      <c r="AT61" s="64">
        <v>252000</v>
      </c>
      <c r="AU61" s="180">
        <v>0</v>
      </c>
      <c r="AV61" s="115">
        <v>49000</v>
      </c>
      <c r="AW61" s="180">
        <v>0</v>
      </c>
      <c r="AX61" s="184">
        <f t="shared" si="8"/>
        <v>301000</v>
      </c>
      <c r="AY61" s="80">
        <f t="shared" si="14"/>
        <v>-9876.8380952381412</v>
      </c>
      <c r="AZ61" s="180">
        <v>0</v>
      </c>
      <c r="BA61" s="181">
        <v>0</v>
      </c>
      <c r="BB61" s="180">
        <v>0</v>
      </c>
      <c r="BC61" s="180">
        <v>0</v>
      </c>
      <c r="BD61" s="94"/>
      <c r="BE61" s="80">
        <f t="shared" si="15"/>
        <v>-9876.8380952381412</v>
      </c>
      <c r="BF61" s="115">
        <v>0</v>
      </c>
      <c r="BG61" s="63">
        <v>0</v>
      </c>
      <c r="BH61" s="180">
        <v>0</v>
      </c>
      <c r="BI61" s="115">
        <v>0</v>
      </c>
      <c r="BJ61" s="115">
        <v>0</v>
      </c>
      <c r="BK61" s="107"/>
      <c r="BL61" s="114">
        <f t="shared" si="16"/>
        <v>-9876.8380952381412</v>
      </c>
    </row>
    <row r="62" spans="1:64" ht="13.8" thickBot="1" x14ac:dyDescent="0.3">
      <c r="A62" s="63">
        <v>546</v>
      </c>
      <c r="B62" s="75" t="s">
        <v>170</v>
      </c>
      <c r="C62" s="61">
        <f>+GETPIVOTDATA("ADJBAL",AGTRAXDATA!$F$1,"BRANCH_NUMBER",546,"COMMODITY_CODE","01")/60</f>
        <v>0</v>
      </c>
      <c r="D62" s="61">
        <f>+GETPIVOTDATA("ADJBAL",AGTRAXDATA!$F$1,"BRANCH_NUMBER",546,"COMMODITY_CODE","02")/56</f>
        <v>261742.89285714287</v>
      </c>
      <c r="E62" s="61">
        <f>+GETPIVOTDATA("ADJBAL",AGTRAXDATA!$F$1,"BRANCH_NUMBER",546,"COMMODITY_CODE","04")/56</f>
        <v>0</v>
      </c>
      <c r="F62" s="61">
        <f>+GETPIVOTDATA("ADJBAL",AGTRAXDATA!$F$1,"BRANCH_NUMBER",546,"COMMODITY_CODE","03")/60</f>
        <v>114931.56666666667</v>
      </c>
      <c r="G62" s="61">
        <f>+GETPIVOTDATA("ADJBAL",AGTRAXDATA!$F$1,"BRANCH_NUMBER",546,"COMMODITY_CODE","22")/25</f>
        <v>0</v>
      </c>
      <c r="H62" s="76">
        <v>0</v>
      </c>
      <c r="I62" s="76"/>
      <c r="J62" s="80">
        <f t="shared" si="9"/>
        <v>376674.45952380955</v>
      </c>
      <c r="K62" s="66"/>
      <c r="L62" s="61">
        <f>+GETPIVOTDATA("LBS_UPDATED",SALESCONTRACTS!$E$1,"BRANCH_NUMBER",546,"COMMODITY_CODE","01")/60</f>
        <v>0</v>
      </c>
      <c r="M62" s="61">
        <f>+GETPIVOTDATA("LBS_UPDATED",SALESCONTRACTS!$E$1,"BRANCH_NUMBER",546,"COMMODITY_CODE","02")/56</f>
        <v>0</v>
      </c>
      <c r="N62" s="61">
        <f>+GETPIVOTDATA("LBS_UPDATED",SALESCONTRACTS!$E$1,"BRANCH_NUMBER",546,"COMMODITY_CODE","04")/56</f>
        <v>0</v>
      </c>
      <c r="O62" s="61">
        <f>+GETPIVOTDATA("LBS_UPDATED",SALESCONTRACTS!$E$1,"BRANCH_NUMBER",546,"COMMODITY_CODE","03")/60</f>
        <v>0</v>
      </c>
      <c r="P62" s="61">
        <f>+GETPIVOTDATA("LBS_UPDATED",SALESCONTRACTS!$E$1,"BRANCH_NUMBER",546,"COMMODITY_CODE","22")/25</f>
        <v>0</v>
      </c>
      <c r="Q62" s="66">
        <v>0</v>
      </c>
      <c r="R62" s="66">
        <v>0</v>
      </c>
      <c r="S62" s="66">
        <v>0</v>
      </c>
      <c r="T62" s="66">
        <v>0</v>
      </c>
      <c r="U62" s="85">
        <v>0</v>
      </c>
      <c r="V62" s="85">
        <v>0</v>
      </c>
      <c r="W62" s="82"/>
      <c r="X62" s="80">
        <f t="shared" si="10"/>
        <v>376674.45952380955</v>
      </c>
      <c r="Y62" s="66"/>
      <c r="Z62" s="66">
        <v>428000</v>
      </c>
      <c r="AA62" s="66">
        <v>0</v>
      </c>
      <c r="AB62" s="66">
        <v>0</v>
      </c>
      <c r="AC62" s="122">
        <f t="shared" si="11"/>
        <v>51325.54047619045</v>
      </c>
      <c r="AD62" s="122"/>
      <c r="AE62" s="80">
        <f t="shared" si="12"/>
        <v>51325.54047619045</v>
      </c>
      <c r="AF62" s="66"/>
      <c r="AG62" s="88">
        <v>0</v>
      </c>
      <c r="AH62" s="88">
        <v>0</v>
      </c>
      <c r="AI62" s="91">
        <v>0</v>
      </c>
      <c r="AJ62" s="84">
        <v>0</v>
      </c>
      <c r="AK62" s="82"/>
      <c r="AL62" s="138">
        <v>497000</v>
      </c>
      <c r="AM62" s="84">
        <v>0</v>
      </c>
      <c r="AN62" s="82"/>
      <c r="AO62" s="80">
        <f t="shared" si="13"/>
        <v>-445674.45952380955</v>
      </c>
      <c r="AP62" s="63"/>
      <c r="AQ62" s="93">
        <v>0</v>
      </c>
      <c r="AR62" s="93">
        <v>0</v>
      </c>
      <c r="AS62" s="180">
        <v>0</v>
      </c>
      <c r="AT62" s="180">
        <v>0</v>
      </c>
      <c r="AU62" s="180">
        <v>0</v>
      </c>
      <c r="AV62" s="115">
        <v>0</v>
      </c>
      <c r="AW62" s="180">
        <v>0</v>
      </c>
      <c r="AX62" s="184">
        <f t="shared" si="8"/>
        <v>0</v>
      </c>
      <c r="AY62" s="80">
        <f t="shared" si="14"/>
        <v>-445674.45952380955</v>
      </c>
      <c r="AZ62" s="180">
        <v>0</v>
      </c>
      <c r="BA62" s="181">
        <v>0</v>
      </c>
      <c r="BB62" s="180">
        <v>0</v>
      </c>
      <c r="BC62" s="180">
        <v>0</v>
      </c>
      <c r="BD62" s="94"/>
      <c r="BE62" s="80">
        <f t="shared" si="15"/>
        <v>-445674.45952380955</v>
      </c>
      <c r="BF62" s="115">
        <v>0</v>
      </c>
      <c r="BG62" s="115">
        <v>262000</v>
      </c>
      <c r="BH62" s="180">
        <v>0</v>
      </c>
      <c r="BI62" s="115">
        <v>115000</v>
      </c>
      <c r="BJ62" s="115">
        <v>0</v>
      </c>
      <c r="BK62" s="107"/>
      <c r="BL62" s="114">
        <f t="shared" si="16"/>
        <v>-68674.45952380955</v>
      </c>
    </row>
    <row r="63" spans="1:64" ht="13.8" thickBot="1" x14ac:dyDescent="0.3">
      <c r="A63" s="63">
        <v>547</v>
      </c>
      <c r="B63" s="75" t="s">
        <v>171</v>
      </c>
      <c r="C63" s="61">
        <f>+GETPIVOTDATA("ADJBAL",AGTRAXDATA!$F$1,"BRANCH_NUMBER",547,"COMMODITY_CODE","01")/60</f>
        <v>556.33333333333337</v>
      </c>
      <c r="D63" s="61">
        <f>+GETPIVOTDATA("ADJBAL",AGTRAXDATA!$F$1,"BRANCH_NUMBER",547,"COMMODITY_CODE","02")/56</f>
        <v>369005.28571428574</v>
      </c>
      <c r="E63" s="61">
        <f>+GETPIVOTDATA("ADJBAL",AGTRAXDATA!$F$1,"BRANCH_NUMBER",547,"COMMODITY_CODE","04")/56</f>
        <v>4114.4464285714284</v>
      </c>
      <c r="F63" s="61">
        <f>+GETPIVOTDATA("ADJBAL",AGTRAXDATA!$F$1,"BRANCH_NUMBER",547,"COMMODITY_CODE","03")/60</f>
        <v>106808.55</v>
      </c>
      <c r="G63" s="61">
        <f>+GETPIVOTDATA("ADJBAL",AGTRAXDATA!$F$1,"BRANCH_NUMBER",547,"COMMODITY_CODE","22")/25</f>
        <v>0</v>
      </c>
      <c r="H63" s="76">
        <v>0</v>
      </c>
      <c r="I63" s="76"/>
      <c r="J63" s="80">
        <f t="shared" si="9"/>
        <v>480484.61547619046</v>
      </c>
      <c r="K63" s="66"/>
      <c r="L63" s="61">
        <f>+GETPIVOTDATA("LBS_UPDATED",SALESCONTRACTS!$E$1,"BRANCH_NUMBER",547,"COMMODITY_CODE","01")/60</f>
        <v>0</v>
      </c>
      <c r="M63" s="61">
        <f>+GETPIVOTDATA("LBS_UPDATED",SALESCONTRACTS!$E$1,"BRANCH_NUMBER",547,"COMMODITY_CODE","02")/56</f>
        <v>0</v>
      </c>
      <c r="N63" s="61">
        <f>+GETPIVOTDATA("LBS_UPDATED",SALESCONTRACTS!$E$1,"BRANCH_NUMBER",547,"COMMODITY_CODE","04")/56</f>
        <v>783.21428571428567</v>
      </c>
      <c r="O63" s="61">
        <f>+GETPIVOTDATA("LBS_UPDATED",SALESCONTRACTS!$E$1,"BRANCH_NUMBER",547,"COMMODITY_CODE","03")/60</f>
        <v>3126.95</v>
      </c>
      <c r="P63" s="61">
        <f>+GETPIVOTDATA("LBS_UPDATED",SALESCONTRACTS!$E$1,"BRANCH_NUMBER",547,"COMMODITY_CODE","22")/25</f>
        <v>0</v>
      </c>
      <c r="Q63" s="66">
        <v>0</v>
      </c>
      <c r="R63" s="66">
        <v>0</v>
      </c>
      <c r="S63" s="66">
        <v>0</v>
      </c>
      <c r="T63" s="66">
        <v>0</v>
      </c>
      <c r="U63" s="85">
        <v>0</v>
      </c>
      <c r="V63" s="85">
        <v>0</v>
      </c>
      <c r="W63" s="82"/>
      <c r="X63" s="80">
        <f t="shared" si="10"/>
        <v>476574.45119047619</v>
      </c>
      <c r="Y63" s="66"/>
      <c r="Z63" s="66">
        <v>561000</v>
      </c>
      <c r="AA63" s="66">
        <v>0</v>
      </c>
      <c r="AB63" s="66">
        <v>0</v>
      </c>
      <c r="AC63" s="122">
        <f t="shared" si="11"/>
        <v>80515.384523809538</v>
      </c>
      <c r="AD63" s="122"/>
      <c r="AE63" s="80">
        <f t="shared" si="12"/>
        <v>84425.548809523811</v>
      </c>
      <c r="AF63" s="66"/>
      <c r="AG63" s="88">
        <v>0</v>
      </c>
      <c r="AH63" s="88">
        <v>0</v>
      </c>
      <c r="AI63" s="91">
        <v>0</v>
      </c>
      <c r="AJ63" s="84">
        <v>0</v>
      </c>
      <c r="AK63" s="82"/>
      <c r="AL63" s="138">
        <v>550000</v>
      </c>
      <c r="AM63" s="84">
        <v>0</v>
      </c>
      <c r="AN63" s="82"/>
      <c r="AO63" s="80">
        <f t="shared" si="13"/>
        <v>-465574.45119047619</v>
      </c>
      <c r="AP63" s="63"/>
      <c r="AQ63" s="93">
        <v>0</v>
      </c>
      <c r="AR63" s="93">
        <v>0</v>
      </c>
      <c r="AS63" s="180">
        <v>0</v>
      </c>
      <c r="AT63" s="115">
        <v>370000</v>
      </c>
      <c r="AU63" s="180">
        <v>0</v>
      </c>
      <c r="AV63" s="115">
        <v>104000</v>
      </c>
      <c r="AW63" s="180">
        <v>0</v>
      </c>
      <c r="AX63" s="184">
        <f t="shared" si="8"/>
        <v>474000</v>
      </c>
      <c r="AY63" s="80">
        <f t="shared" si="14"/>
        <v>8425.5488095238106</v>
      </c>
      <c r="AZ63" s="180">
        <v>0</v>
      </c>
      <c r="BA63" s="181">
        <v>0</v>
      </c>
      <c r="BB63" s="180">
        <v>0</v>
      </c>
      <c r="BC63" s="180">
        <v>0</v>
      </c>
      <c r="BD63" s="94"/>
      <c r="BE63" s="80">
        <f t="shared" si="15"/>
        <v>8425.5488095238106</v>
      </c>
      <c r="BF63" s="115">
        <v>0</v>
      </c>
      <c r="BG63" s="63">
        <v>0</v>
      </c>
      <c r="BH63" s="180">
        <v>0</v>
      </c>
      <c r="BI63" s="115">
        <v>0</v>
      </c>
      <c r="BJ63" s="115">
        <v>0</v>
      </c>
      <c r="BK63" s="107"/>
      <c r="BL63" s="114">
        <f t="shared" si="16"/>
        <v>8425.5488095238106</v>
      </c>
    </row>
    <row r="64" spans="1:64" ht="13.8" thickBot="1" x14ac:dyDescent="0.3">
      <c r="A64" s="63">
        <v>548</v>
      </c>
      <c r="B64" s="75" t="s">
        <v>172</v>
      </c>
      <c r="C64" s="61">
        <f>+GETPIVOTDATA("ADJBAL",AGTRAXDATA!$F$1,"BRANCH_NUMBER",548,"COMMODITY_CODE","01")/60</f>
        <v>75529.28333333334</v>
      </c>
      <c r="D64" s="61">
        <f>+GETPIVOTDATA("ADJBAL",AGTRAXDATA!$F$1,"BRANCH_NUMBER",548,"COMMODITY_CODE","02")/56</f>
        <v>142004.125</v>
      </c>
      <c r="E64" s="61">
        <f>+GETPIVOTDATA("ADJBAL",AGTRAXDATA!$F$1,"BRANCH_NUMBER",548,"COMMODITY_CODE","04")/56</f>
        <v>2491.7857142857142</v>
      </c>
      <c r="F64" s="61">
        <f>+GETPIVOTDATA("ADJBAL",AGTRAXDATA!$F$1,"BRANCH_NUMBER",548,"COMMODITY_CODE","03")/60</f>
        <v>58913.633333333331</v>
      </c>
      <c r="G64" s="61">
        <f>+GETPIVOTDATA("ADJBAL",AGTRAXDATA!$F$1,"BRANCH_NUMBER",548,"COMMODITY_CODE","22")/25</f>
        <v>0</v>
      </c>
      <c r="H64" s="76">
        <v>0</v>
      </c>
      <c r="I64" s="76"/>
      <c r="J64" s="80">
        <f t="shared" si="9"/>
        <v>278938.82738095237</v>
      </c>
      <c r="K64" s="66"/>
      <c r="L64" s="61">
        <f>+GETPIVOTDATA("LBS_UPDATED",SALESCONTRACTS!$E$1,"BRANCH_NUMBER",548,"COMMODITY_CODE","01")/60</f>
        <v>0</v>
      </c>
      <c r="M64" s="61">
        <f>+GETPIVOTDATA("LBS_UPDATED",SALESCONTRACTS!$E$1,"BRANCH_NUMBER",548,"COMMODITY_CODE","02")/56</f>
        <v>0</v>
      </c>
      <c r="N64" s="61">
        <f>+GETPIVOTDATA("LBS_UPDATED",SALESCONTRACTS!$E$1,"BRANCH_NUMBER",548,"COMMODITY_CODE","04")/56</f>
        <v>10.821428571428571</v>
      </c>
      <c r="O64" s="61">
        <f>+GETPIVOTDATA("LBS_UPDATED",SALESCONTRACTS!$E$1,"BRANCH_NUMBER",548,"COMMODITY_CODE","03")/60</f>
        <v>117.16666666666667</v>
      </c>
      <c r="P64" s="61">
        <f>+GETPIVOTDATA("LBS_UPDATED",SALESCONTRACTS!$E$1,"BRANCH_NUMBER",548,"COMMODITY_CODE","22")/25</f>
        <v>0</v>
      </c>
      <c r="Q64" s="66">
        <v>0</v>
      </c>
      <c r="R64" s="66">
        <v>0</v>
      </c>
      <c r="S64" s="66">
        <v>0</v>
      </c>
      <c r="T64" s="66">
        <v>0</v>
      </c>
      <c r="U64" s="85">
        <v>0</v>
      </c>
      <c r="V64" s="85">
        <v>0</v>
      </c>
      <c r="W64" s="82"/>
      <c r="X64" s="80">
        <f t="shared" si="10"/>
        <v>278810.83928571426</v>
      </c>
      <c r="Y64" s="66"/>
      <c r="Z64" s="66">
        <v>460000</v>
      </c>
      <c r="AA64" s="66">
        <v>0</v>
      </c>
      <c r="AB64" s="66">
        <v>0</v>
      </c>
      <c r="AC64" s="122">
        <f t="shared" si="11"/>
        <v>181061.17261904763</v>
      </c>
      <c r="AD64" s="122"/>
      <c r="AE64" s="80">
        <f t="shared" si="12"/>
        <v>181189.16071428574</v>
      </c>
      <c r="AF64" s="66"/>
      <c r="AG64" s="88">
        <v>0</v>
      </c>
      <c r="AH64" s="88">
        <v>0</v>
      </c>
      <c r="AI64" s="91">
        <v>0</v>
      </c>
      <c r="AJ64" s="84">
        <v>0</v>
      </c>
      <c r="AK64" s="82"/>
      <c r="AL64" s="138">
        <v>375000</v>
      </c>
      <c r="AM64" s="84">
        <v>0</v>
      </c>
      <c r="AN64" s="82"/>
      <c r="AO64" s="80">
        <f t="shared" si="13"/>
        <v>-193810.83928571426</v>
      </c>
      <c r="AP64" s="63"/>
      <c r="AQ64" s="93">
        <v>0</v>
      </c>
      <c r="AR64" s="93">
        <v>0</v>
      </c>
      <c r="AS64" s="180">
        <v>0</v>
      </c>
      <c r="AT64" s="180">
        <v>0</v>
      </c>
      <c r="AU64" s="180">
        <v>0</v>
      </c>
      <c r="AV64" s="93">
        <v>59000</v>
      </c>
      <c r="AW64" s="180">
        <v>0</v>
      </c>
      <c r="AX64" s="184">
        <f t="shared" si="8"/>
        <v>59000</v>
      </c>
      <c r="AY64" s="80">
        <f t="shared" si="14"/>
        <v>-134810.83928571426</v>
      </c>
      <c r="AZ64" s="180">
        <v>0</v>
      </c>
      <c r="BA64" s="181">
        <v>0</v>
      </c>
      <c r="BB64" s="180">
        <v>0</v>
      </c>
      <c r="BC64" s="180">
        <v>0</v>
      </c>
      <c r="BD64" s="94"/>
      <c r="BE64" s="80">
        <f t="shared" si="15"/>
        <v>-134810.83928571426</v>
      </c>
      <c r="BF64" s="115">
        <v>0</v>
      </c>
      <c r="BG64" s="115">
        <v>142000</v>
      </c>
      <c r="BH64" s="180">
        <v>0</v>
      </c>
      <c r="BI64" s="115">
        <v>0</v>
      </c>
      <c r="BJ64" s="115">
        <v>0</v>
      </c>
      <c r="BK64" s="107"/>
      <c r="BL64" s="114">
        <f t="shared" si="16"/>
        <v>7189.1607142857392</v>
      </c>
    </row>
    <row r="65" spans="1:64" ht="13.8" thickBot="1" x14ac:dyDescent="0.3">
      <c r="A65" s="63">
        <v>549</v>
      </c>
      <c r="B65" s="75" t="s">
        <v>173</v>
      </c>
      <c r="C65" s="61">
        <f>+GETPIVOTDATA("ADJBAL",AGTRAXDATA!$F$1,"BRANCH_NUMBER",549,"COMMODITY_CODE","01")/60</f>
        <v>0</v>
      </c>
      <c r="D65" s="61">
        <f>+GETPIVOTDATA("ADJBAL",AGTRAXDATA!$F$1,"BRANCH_NUMBER",549,"COMMODITY_CODE","02")/56</f>
        <v>141543.53571428571</v>
      </c>
      <c r="E65" s="61">
        <f>+GETPIVOTDATA("ADJBAL",AGTRAXDATA!$F$1,"BRANCH_NUMBER",549,"COMMODITY_CODE","04")/56</f>
        <v>0</v>
      </c>
      <c r="F65" s="61">
        <f>+GETPIVOTDATA("ADJBAL",AGTRAXDATA!$F$1,"BRANCH_NUMBER",549,"COMMODITY_CODE","03")/60</f>
        <v>0</v>
      </c>
      <c r="G65" s="61">
        <f>+GETPIVOTDATA("ADJBAL",AGTRAXDATA!$F$1,"BRANCH_NUMBER",549,"COMMODITY_CODE","22")/25</f>
        <v>0</v>
      </c>
      <c r="H65" s="76">
        <v>0</v>
      </c>
      <c r="I65" s="76"/>
      <c r="J65" s="80">
        <f t="shared" si="9"/>
        <v>141543.53571428571</v>
      </c>
      <c r="K65" s="66"/>
      <c r="L65" s="61">
        <f>+GETPIVOTDATA("LBS_UPDATED",SALESCONTRACTS!$E$1,"BRANCH_NUMBER",549,"COMMODITY_CODE","01")/60</f>
        <v>0</v>
      </c>
      <c r="M65" s="61">
        <f>+GETPIVOTDATA("LBS_UPDATED",SALESCONTRACTS!$E$1,"BRANCH_NUMBER",549,"COMMODITY_CODE","02")/56</f>
        <v>0</v>
      </c>
      <c r="N65" s="61">
        <f>+GETPIVOTDATA("LBS_UPDATED",SALESCONTRACTS!$E$1,"BRANCH_NUMBER",549,"COMMODITY_CODE","04")/56</f>
        <v>0</v>
      </c>
      <c r="O65" s="61">
        <f>+GETPIVOTDATA("LBS_UPDATED",SALESCONTRACTS!$E$1,"BRANCH_NUMBER",549,"COMMODITY_CODE","03")/60</f>
        <v>0</v>
      </c>
      <c r="P65" s="61">
        <f>+GETPIVOTDATA("LBS_UPDATED",SALESCONTRACTS!$E$1,"BRANCH_NUMBER",549,"COMMODITY_CODE","22")/25</f>
        <v>0</v>
      </c>
      <c r="Q65" s="66">
        <v>0</v>
      </c>
      <c r="R65" s="66">
        <v>0</v>
      </c>
      <c r="S65" s="66">
        <v>0</v>
      </c>
      <c r="T65" s="66">
        <v>0</v>
      </c>
      <c r="U65" s="85">
        <v>0</v>
      </c>
      <c r="V65" s="85">
        <v>0</v>
      </c>
      <c r="W65" s="82"/>
      <c r="X65" s="80">
        <f t="shared" si="10"/>
        <v>141543.53571428571</v>
      </c>
      <c r="Y65" s="66"/>
      <c r="Z65" s="66">
        <v>229000</v>
      </c>
      <c r="AA65" s="66">
        <v>0</v>
      </c>
      <c r="AB65" s="66">
        <v>0</v>
      </c>
      <c r="AC65" s="122">
        <f t="shared" si="11"/>
        <v>87456.46428571429</v>
      </c>
      <c r="AD65" s="122"/>
      <c r="AE65" s="80">
        <f t="shared" si="12"/>
        <v>87456.46428571429</v>
      </c>
      <c r="AF65" s="66"/>
      <c r="AG65" s="88">
        <v>0</v>
      </c>
      <c r="AH65" s="88">
        <v>0</v>
      </c>
      <c r="AI65" s="91">
        <v>0</v>
      </c>
      <c r="AJ65" s="84">
        <v>0</v>
      </c>
      <c r="AK65" s="82"/>
      <c r="AL65" s="138">
        <v>325000</v>
      </c>
      <c r="AM65" s="84">
        <v>0</v>
      </c>
      <c r="AN65" s="82"/>
      <c r="AO65" s="80">
        <f t="shared" si="13"/>
        <v>-237543.53571428571</v>
      </c>
      <c r="AP65" s="63"/>
      <c r="AQ65" s="93">
        <v>0</v>
      </c>
      <c r="AR65" s="93">
        <v>0</v>
      </c>
      <c r="AS65" s="180">
        <v>0</v>
      </c>
      <c r="AT65" s="180">
        <v>0</v>
      </c>
      <c r="AU65" s="180">
        <v>0</v>
      </c>
      <c r="AV65" s="115">
        <v>0</v>
      </c>
      <c r="AW65" s="180">
        <v>0</v>
      </c>
      <c r="AX65" s="184">
        <f t="shared" si="8"/>
        <v>0</v>
      </c>
      <c r="AY65" s="80">
        <f t="shared" si="14"/>
        <v>-237543.53571428571</v>
      </c>
      <c r="AZ65" s="180">
        <v>0</v>
      </c>
      <c r="BA65" s="181">
        <v>0</v>
      </c>
      <c r="BB65" s="180">
        <v>0</v>
      </c>
      <c r="BC65" s="180">
        <v>0</v>
      </c>
      <c r="BD65" s="94"/>
      <c r="BE65" s="80">
        <f t="shared" si="15"/>
        <v>-237543.53571428571</v>
      </c>
      <c r="BF65" s="115">
        <v>0</v>
      </c>
      <c r="BG65" s="115">
        <v>142000</v>
      </c>
      <c r="BH65" s="180">
        <v>0</v>
      </c>
      <c r="BI65" s="115">
        <v>0</v>
      </c>
      <c r="BJ65" s="115">
        <v>0</v>
      </c>
      <c r="BK65" s="107"/>
      <c r="BL65" s="114">
        <f t="shared" si="16"/>
        <v>-95543.53571428571</v>
      </c>
    </row>
    <row r="66" spans="1:64" ht="13.8" thickBot="1" x14ac:dyDescent="0.3">
      <c r="A66" s="63">
        <v>550</v>
      </c>
      <c r="B66" s="75" t="s">
        <v>174</v>
      </c>
      <c r="C66" s="61">
        <f>+GETPIVOTDATA("ADJBAL",AGTRAXDATA!$F$1,"BRANCH_NUMBER",550,"COMMODITY_CODE","01")/60</f>
        <v>143081.75</v>
      </c>
      <c r="D66" s="61">
        <f>+GETPIVOTDATA("ADJBAL",AGTRAXDATA!$F$1,"BRANCH_NUMBER",550,"COMMODITY_CODE","02")/56</f>
        <v>51948.357142857145</v>
      </c>
      <c r="E66" s="61">
        <f>+GETPIVOTDATA("ADJBAL",AGTRAXDATA!$F$1,"BRANCH_NUMBER",550,"COMMODITY_CODE","04")/56</f>
        <v>26971.589285714286</v>
      </c>
      <c r="F66" s="61">
        <f>+GETPIVOTDATA("ADJBAL",AGTRAXDATA!$F$1,"BRANCH_NUMBER",550,"COMMODITY_CODE","03")/60</f>
        <v>36143.033333333333</v>
      </c>
      <c r="G66" s="61">
        <f>+GETPIVOTDATA("ADJBAL",AGTRAXDATA!$F$1,"BRANCH_NUMBER",550,"COMMODITY_CODE","22")/25</f>
        <v>0</v>
      </c>
      <c r="H66" s="76">
        <v>0</v>
      </c>
      <c r="I66" s="76"/>
      <c r="J66" s="80">
        <f t="shared" ref="J66:J78" si="17">SUM(C66:H66)</f>
        <v>258144.72976190477</v>
      </c>
      <c r="K66" s="66"/>
      <c r="L66" s="61">
        <f>+GETPIVOTDATA("LBS_UPDATED",SALESCONTRACTS!$E$1,"BRANCH_NUMBER",550,"COMMODITY_CODE","01")/60</f>
        <v>0</v>
      </c>
      <c r="M66" s="61">
        <f>+GETPIVOTDATA("LBS_UPDATED",SALESCONTRACTS!$E$1,"BRANCH_NUMBER",550,"COMMODITY_CODE","02")/56</f>
        <v>0</v>
      </c>
      <c r="N66" s="61">
        <f>+GETPIVOTDATA("LBS_UPDATED",SALESCONTRACTS!$E$1,"BRANCH_NUMBER",550,"COMMODITY_CODE","04")/56</f>
        <v>0</v>
      </c>
      <c r="O66" s="61">
        <f>+GETPIVOTDATA("LBS_UPDATED",SALESCONTRACTS!$E$1,"BRANCH_NUMBER",550,"COMMODITY_CODE","03")/60</f>
        <v>0</v>
      </c>
      <c r="P66" s="61">
        <f>+GETPIVOTDATA("LBS_UPDATED",SALESCONTRACTS!$E$1,"BRANCH_NUMBER",550,"COMMODITY_CODE","22")/25</f>
        <v>0</v>
      </c>
      <c r="Q66" s="66">
        <v>0</v>
      </c>
      <c r="R66" s="66">
        <v>0</v>
      </c>
      <c r="S66" s="66">
        <v>0</v>
      </c>
      <c r="T66" s="66">
        <v>0</v>
      </c>
      <c r="U66" s="85">
        <v>0</v>
      </c>
      <c r="V66" s="85">
        <v>0</v>
      </c>
      <c r="W66" s="82"/>
      <c r="X66" s="80">
        <f t="shared" ref="X66:X78" si="18">J66-L66-M66-N66-O66-P66-Q66-R66-S66-T66-U66-V66</f>
        <v>258144.72976190477</v>
      </c>
      <c r="Y66" s="66"/>
      <c r="Z66" s="66">
        <v>312000</v>
      </c>
      <c r="AA66" s="66">
        <v>0</v>
      </c>
      <c r="AB66" s="66">
        <v>0</v>
      </c>
      <c r="AC66" s="122">
        <f t="shared" ref="AC66:AC97" si="19">SUM(Z66:AB66)-J66</f>
        <v>53855.270238095225</v>
      </c>
      <c r="AD66" s="122"/>
      <c r="AE66" s="80">
        <f t="shared" ref="AE66:AE78" si="20">Z66+AA66-X66</f>
        <v>53855.270238095225</v>
      </c>
      <c r="AF66" s="66"/>
      <c r="AG66" s="88">
        <v>0</v>
      </c>
      <c r="AH66" s="88">
        <v>0</v>
      </c>
      <c r="AI66" s="91">
        <v>0</v>
      </c>
      <c r="AJ66" s="84">
        <v>0</v>
      </c>
      <c r="AK66" s="82"/>
      <c r="AL66" s="138">
        <v>96000</v>
      </c>
      <c r="AM66" s="84">
        <v>0</v>
      </c>
      <c r="AN66" s="82"/>
      <c r="AO66" s="80">
        <f t="shared" ref="AO66:AO78" si="21">AE66-AG66-AH66-AI66-AJ66-AL66-AM66</f>
        <v>-42144.729761904775</v>
      </c>
      <c r="AP66" s="63"/>
      <c r="AQ66" s="93">
        <v>0</v>
      </c>
      <c r="AR66" s="93">
        <v>0</v>
      </c>
      <c r="AS66" s="180">
        <v>0</v>
      </c>
      <c r="AT66" s="180">
        <v>0</v>
      </c>
      <c r="AU66" s="180">
        <v>0</v>
      </c>
      <c r="AV66" s="115">
        <v>0</v>
      </c>
      <c r="AW66" s="180">
        <v>0</v>
      </c>
      <c r="AX66" s="184">
        <f t="shared" si="8"/>
        <v>0</v>
      </c>
      <c r="AY66" s="80">
        <f t="shared" ref="AY66:AY77" si="22">SUM(AO66:AW66)</f>
        <v>-42144.729761904775</v>
      </c>
      <c r="AZ66" s="180">
        <v>0</v>
      </c>
      <c r="BA66" s="181">
        <v>0</v>
      </c>
      <c r="BB66" s="180">
        <v>0</v>
      </c>
      <c r="BC66" s="180">
        <v>0</v>
      </c>
      <c r="BD66" s="94"/>
      <c r="BE66" s="80">
        <f t="shared" ref="BE66:BE77" si="23">SUM(AY66:BC66)</f>
        <v>-42144.729761904775</v>
      </c>
      <c r="BF66" s="115">
        <v>0</v>
      </c>
      <c r="BG66" s="115">
        <v>52000</v>
      </c>
      <c r="BH66" s="180">
        <v>0</v>
      </c>
      <c r="BI66" s="115">
        <v>0</v>
      </c>
      <c r="BJ66" s="115">
        <v>0</v>
      </c>
      <c r="BK66" s="107"/>
      <c r="BL66" s="114">
        <f t="shared" ref="BL66:BL78" si="24">SUM(BE66:BJ66)</f>
        <v>9855.2702380952251</v>
      </c>
    </row>
    <row r="67" spans="1:64" ht="13.8" thickBot="1" x14ac:dyDescent="0.3">
      <c r="A67" s="63">
        <v>551</v>
      </c>
      <c r="B67" s="75" t="s">
        <v>175</v>
      </c>
      <c r="C67" s="61">
        <f>+GETPIVOTDATA("ADJBAL",AGTRAXDATA!$F$1,"BRANCH_NUMBER",551,"COMMODITY_CODE","01")/60</f>
        <v>441421.81666666665</v>
      </c>
      <c r="D67" s="61">
        <f>+GETPIVOTDATA("ADJBAL",AGTRAXDATA!$F$1,"BRANCH_NUMBER",551,"COMMODITY_CODE","02")/56</f>
        <v>143524.82142857142</v>
      </c>
      <c r="E67" s="61">
        <f>+GETPIVOTDATA("ADJBAL",AGTRAXDATA!$F$1,"BRANCH_NUMBER",551,"COMMODITY_CODE","04")/56</f>
        <v>339047.5</v>
      </c>
      <c r="F67" s="61">
        <f>+GETPIVOTDATA("ADJBAL",AGTRAXDATA!$F$1,"BRANCH_NUMBER",551,"COMMODITY_CODE","03")/60</f>
        <v>129173.41666666667</v>
      </c>
      <c r="G67" s="61">
        <f>+GETPIVOTDATA("ADJBAL",AGTRAXDATA!$F$1,"BRANCH_NUMBER",551,"COMMODITY_CODE","22")/25</f>
        <v>0</v>
      </c>
      <c r="H67" s="76">
        <v>0</v>
      </c>
      <c r="I67" s="76"/>
      <c r="J67" s="80">
        <f t="shared" si="17"/>
        <v>1053167.5547619048</v>
      </c>
      <c r="K67" s="66"/>
      <c r="L67" s="61">
        <f>+GETPIVOTDATA("LBS_UPDATED",SALESCONTRACTS!$E$1,"BRANCH_NUMBER",551,"COMMODITY_CODE","01")/60</f>
        <v>0</v>
      </c>
      <c r="M67" s="61">
        <f>+GETPIVOTDATA("LBS_UPDATED",SALESCONTRACTS!$E$1,"BRANCH_NUMBER",551,"COMMODITY_CODE","02")/56</f>
        <v>4132.2142857142853</v>
      </c>
      <c r="N67" s="61">
        <f>+GETPIVOTDATA("LBS_UPDATED",SALESCONTRACTS!$E$1,"BRANCH_NUMBER",551,"COMMODITY_CODE","04")/56</f>
        <v>3426.125</v>
      </c>
      <c r="O67" s="61">
        <f>+GETPIVOTDATA("LBS_UPDATED",SALESCONTRACTS!$E$1,"BRANCH_NUMBER",551,"COMMODITY_CODE","03")/60</f>
        <v>2959.0666666666666</v>
      </c>
      <c r="P67" s="61">
        <f>+GETPIVOTDATA("LBS_UPDATED",SALESCONTRACTS!$E$1,"BRANCH_NUMBER",551,"COMMODITY_CODE","22")/25</f>
        <v>0</v>
      </c>
      <c r="Q67" s="66">
        <v>0</v>
      </c>
      <c r="R67" s="66">
        <v>0</v>
      </c>
      <c r="S67" s="66">
        <v>0</v>
      </c>
      <c r="T67" s="66">
        <v>0</v>
      </c>
      <c r="U67" s="85">
        <v>50000</v>
      </c>
      <c r="V67" s="85">
        <v>100000</v>
      </c>
      <c r="W67" s="82"/>
      <c r="X67" s="80">
        <f t="shared" si="18"/>
        <v>892650.14880952379</v>
      </c>
      <c r="Y67" s="66"/>
      <c r="Z67" s="66">
        <v>1400000</v>
      </c>
      <c r="AA67" s="66">
        <v>0</v>
      </c>
      <c r="AB67" s="66">
        <v>0</v>
      </c>
      <c r="AC67" s="122">
        <f t="shared" si="19"/>
        <v>346832.44523809524</v>
      </c>
      <c r="AD67" s="122"/>
      <c r="AE67" s="80">
        <f t="shared" si="20"/>
        <v>507349.85119047621</v>
      </c>
      <c r="AF67" s="66"/>
      <c r="AG67" s="88">
        <v>0</v>
      </c>
      <c r="AH67" s="88">
        <v>0</v>
      </c>
      <c r="AI67" s="91">
        <v>0</v>
      </c>
      <c r="AJ67" s="84">
        <v>0</v>
      </c>
      <c r="AK67" s="82"/>
      <c r="AL67" s="138">
        <v>475000</v>
      </c>
      <c r="AM67" s="84">
        <v>0</v>
      </c>
      <c r="AN67" s="82"/>
      <c r="AO67" s="80">
        <f t="shared" si="21"/>
        <v>32349.851190476213</v>
      </c>
      <c r="AP67" s="63"/>
      <c r="AQ67" s="93">
        <v>0</v>
      </c>
      <c r="AR67" s="93">
        <v>0</v>
      </c>
      <c r="AS67" s="180">
        <v>0</v>
      </c>
      <c r="AT67" s="180">
        <v>0</v>
      </c>
      <c r="AU67" s="180">
        <v>0</v>
      </c>
      <c r="AV67" s="115">
        <v>0</v>
      </c>
      <c r="AW67" s="180">
        <v>0</v>
      </c>
      <c r="AX67" s="184">
        <f t="shared" ref="AX67:AX77" si="25">SUM(AQ67:AW67)</f>
        <v>0</v>
      </c>
      <c r="AY67" s="80">
        <f t="shared" si="22"/>
        <v>32349.851190476213</v>
      </c>
      <c r="AZ67" s="64">
        <v>30000</v>
      </c>
      <c r="BA67" s="181">
        <v>0</v>
      </c>
      <c r="BB67" s="180">
        <v>0</v>
      </c>
      <c r="BC67" s="180">
        <v>0</v>
      </c>
      <c r="BD67" s="94"/>
      <c r="BE67" s="80">
        <f t="shared" si="23"/>
        <v>62349.851190476213</v>
      </c>
      <c r="BF67" s="115">
        <v>0</v>
      </c>
      <c r="BG67" s="118">
        <v>0</v>
      </c>
      <c r="BH67" s="180">
        <v>0</v>
      </c>
      <c r="BI67" s="115">
        <v>0</v>
      </c>
      <c r="BJ67" s="115">
        <v>0</v>
      </c>
      <c r="BK67" s="107"/>
      <c r="BL67" s="114">
        <f t="shared" si="24"/>
        <v>62349.851190476213</v>
      </c>
    </row>
    <row r="68" spans="1:64" s="178" customFormat="1" ht="13.8" thickBot="1" x14ac:dyDescent="0.3">
      <c r="A68" s="164">
        <v>195</v>
      </c>
      <c r="B68" s="165" t="s">
        <v>140</v>
      </c>
      <c r="C68" s="166">
        <f>+GETPIVOTDATA("ADJBAL",AGTRAXDATA!$F$1,"BRANCH_NUMBER",195,"COMMODITY_CODE","01")/60</f>
        <v>137119.51666666666</v>
      </c>
      <c r="D68" s="166">
        <f>+GETPIVOTDATA("ADJBAL",AGTRAXDATA!$F$1,"BRANCH_NUMBER",195,"COMMODITY_CODE","02")/56</f>
        <v>75078.517857142855</v>
      </c>
      <c r="E68" s="166">
        <f>+GETPIVOTDATA("ADJBAL",AGTRAXDATA!$F$1,"BRANCH_NUMBER",195,"COMMODITY_CODE","04")/56</f>
        <v>18389.553571428572</v>
      </c>
      <c r="F68" s="166">
        <f>+GETPIVOTDATA("ADJBAL",AGTRAXDATA!$F$1,"BRANCH_NUMBER",195,"COMMODITY_CODE","03")/60</f>
        <v>225781.8</v>
      </c>
      <c r="G68" s="166">
        <f>+GETPIVOTDATA("ADJBAL",AGTRAXDATA!$F$1,"BRANCH_NUMBER",195,"COMMODITY_CODE","22")/25</f>
        <v>299.27999999999997</v>
      </c>
      <c r="H68" s="167">
        <v>0</v>
      </c>
      <c r="I68" s="167"/>
      <c r="J68" s="168">
        <f t="shared" si="17"/>
        <v>456668.6680952381</v>
      </c>
      <c r="K68" s="169"/>
      <c r="L68" s="166">
        <f>+GETPIVOTDATA("LBS_UPDATED",SALESCONTRACTS!$E$1,"BRANCH_NUMBER",195,"COMMODITY_CODE","01")/60</f>
        <v>2577.1999999999998</v>
      </c>
      <c r="M68" s="166">
        <f>+GETPIVOTDATA("LBS_UPDATED",SALESCONTRACTS!$E$1,"BRANCH_NUMBER",195,"COMMODITY_CODE","02")/56</f>
        <v>0</v>
      </c>
      <c r="N68" s="166">
        <f>+GETPIVOTDATA("LBS_UPDATED",SALESCONTRACTS!$E$1,"BRANCH_NUMBER",195,"COMMODITY_CODE","04")/56</f>
        <v>0</v>
      </c>
      <c r="O68" s="166">
        <f>+GETPIVOTDATA("LBS_UPDATED",SALESCONTRACTS!$E$1,"BRANCH_NUMBER",195,"COMMODITY_CODE","03")/60</f>
        <v>0</v>
      </c>
      <c r="P68" s="166">
        <f>+GETPIVOTDATA("LBS_UPDATED",SALESCONTRACTS!$E$1,"BRANCH_NUMBER",195,"COMMODITY_CODE","22")/25</f>
        <v>0</v>
      </c>
      <c r="Q68" s="66">
        <v>0</v>
      </c>
      <c r="R68" s="66">
        <v>0</v>
      </c>
      <c r="S68" s="66">
        <v>0</v>
      </c>
      <c r="T68" s="66">
        <v>0</v>
      </c>
      <c r="U68" s="171">
        <v>65000</v>
      </c>
      <c r="V68" s="171">
        <v>0</v>
      </c>
      <c r="W68" s="170"/>
      <c r="X68" s="168">
        <f t="shared" si="18"/>
        <v>389091.46809523809</v>
      </c>
      <c r="Y68" s="169"/>
      <c r="Z68" s="169">
        <v>644000</v>
      </c>
      <c r="AA68" s="169">
        <v>0</v>
      </c>
      <c r="AB68" s="169">
        <v>0</v>
      </c>
      <c r="AC68" s="172">
        <f t="shared" si="19"/>
        <v>187331.3319047619</v>
      </c>
      <c r="AD68" s="172"/>
      <c r="AE68" s="168">
        <f t="shared" si="20"/>
        <v>254908.53190476191</v>
      </c>
      <c r="AF68" s="170"/>
      <c r="AG68" s="88">
        <v>0</v>
      </c>
      <c r="AH68" s="88">
        <v>0</v>
      </c>
      <c r="AI68" s="91">
        <v>0</v>
      </c>
      <c r="AJ68" s="84">
        <v>0</v>
      </c>
      <c r="AK68" s="170"/>
      <c r="AL68" s="173">
        <v>200000</v>
      </c>
      <c r="AM68" s="84">
        <v>0</v>
      </c>
      <c r="AN68" s="170"/>
      <c r="AO68" s="168">
        <f t="shared" si="21"/>
        <v>54908.531904761912</v>
      </c>
      <c r="AP68" s="164"/>
      <c r="AQ68" s="93">
        <v>0</v>
      </c>
      <c r="AR68" s="93">
        <v>0</v>
      </c>
      <c r="AS68" s="182">
        <v>0</v>
      </c>
      <c r="AT68" s="185">
        <v>0</v>
      </c>
      <c r="AU68" s="182">
        <v>0</v>
      </c>
      <c r="AV68" s="115">
        <v>0</v>
      </c>
      <c r="AW68" s="180">
        <v>0</v>
      </c>
      <c r="AX68" s="184">
        <f t="shared" si="25"/>
        <v>0</v>
      </c>
      <c r="AY68" s="168">
        <f t="shared" si="22"/>
        <v>54908.531904761912</v>
      </c>
      <c r="AZ68" s="182">
        <v>0</v>
      </c>
      <c r="BA68" s="181">
        <v>0</v>
      </c>
      <c r="BB68" s="180">
        <v>0</v>
      </c>
      <c r="BC68" s="180">
        <v>0</v>
      </c>
      <c r="BD68" s="175"/>
      <c r="BE68" s="168">
        <f t="shared" si="23"/>
        <v>54908.531904761912</v>
      </c>
      <c r="BF68" s="174">
        <v>0</v>
      </c>
      <c r="BG68" s="174">
        <v>0</v>
      </c>
      <c r="BH68" s="174">
        <v>0</v>
      </c>
      <c r="BI68" s="174">
        <v>22000</v>
      </c>
      <c r="BJ68" s="115">
        <v>0</v>
      </c>
      <c r="BK68" s="176"/>
      <c r="BL68" s="177">
        <f t="shared" si="24"/>
        <v>76908.531904761912</v>
      </c>
    </row>
    <row r="69" spans="1:64" ht="13.8" thickBot="1" x14ac:dyDescent="0.3">
      <c r="A69" s="63">
        <v>196</v>
      </c>
      <c r="B69" s="75" t="s">
        <v>139</v>
      </c>
      <c r="C69" s="61">
        <f>+GETPIVOTDATA("ADJBAL",AGTRAXDATA!$F$1,"BRANCH_NUMBER",196,"COMMODITY_CODE","01")/60</f>
        <v>53182.85</v>
      </c>
      <c r="D69" s="61">
        <f>+GETPIVOTDATA("ADJBAL",AGTRAXDATA!$F$1,"BRANCH_NUMBER",196,"COMMODITY_CODE","02")/56</f>
        <v>1370.3928571428571</v>
      </c>
      <c r="E69" s="61">
        <f>+GETPIVOTDATA("ADJBAL",AGTRAXDATA!$F$1,"BRANCH_NUMBER",196,"COMMODITY_CODE","04")/56</f>
        <v>0</v>
      </c>
      <c r="F69" s="61">
        <f>+GETPIVOTDATA("ADJBAL",AGTRAXDATA!$F$1,"BRANCH_NUMBER",196,"COMMODITY_CODE","03")/60</f>
        <v>30289.95</v>
      </c>
      <c r="G69" s="61">
        <f>+GETPIVOTDATA("ADJBAL",AGTRAXDATA!$F$1,"BRANCH_NUMBER",196,"COMMODITY_CODE","22")/25</f>
        <v>0</v>
      </c>
      <c r="H69" s="76">
        <v>0</v>
      </c>
      <c r="I69" s="76"/>
      <c r="J69" s="80">
        <f t="shared" si="17"/>
        <v>84843.192857142858</v>
      </c>
      <c r="K69" s="66"/>
      <c r="L69" s="61">
        <f>+GETPIVOTDATA("LBS_UPDATED",SALESCONTRACTS!$E$1,"BRANCH_NUMBER",196,"COMMODITY_CODE","01")/60</f>
        <v>0</v>
      </c>
      <c r="M69" s="61">
        <f>+GETPIVOTDATA("LBS_UPDATED",SALESCONTRACTS!$E$1,"BRANCH_NUMBER",196,"COMMODITY_CODE","02")/56</f>
        <v>0</v>
      </c>
      <c r="N69" s="61">
        <f>+GETPIVOTDATA("LBS_UPDATED",SALESCONTRACTS!$E$1,"BRANCH_NUMBER",196,"COMMODITY_CODE","04")/56</f>
        <v>0</v>
      </c>
      <c r="O69" s="61">
        <f>+GETPIVOTDATA("LBS_UPDATED",SALESCONTRACTS!$E$1,"BRANCH_NUMBER",196,"COMMODITY_CODE","03")/60</f>
        <v>0</v>
      </c>
      <c r="P69" s="61">
        <f>+GETPIVOTDATA("LBS_UPDATED",SALESCONTRACTS!$E$1,"BRANCH_NUMBER",196,"COMMODITY_CODE","22")/25</f>
        <v>0</v>
      </c>
      <c r="Q69" s="66">
        <v>0</v>
      </c>
      <c r="R69" s="66">
        <v>0</v>
      </c>
      <c r="S69" s="66">
        <v>0</v>
      </c>
      <c r="T69" s="66">
        <v>0</v>
      </c>
      <c r="U69" s="85">
        <v>0</v>
      </c>
      <c r="V69" s="171">
        <v>0</v>
      </c>
      <c r="W69" s="82"/>
      <c r="X69" s="80">
        <f t="shared" si="18"/>
        <v>84843.192857142858</v>
      </c>
      <c r="Y69" s="66"/>
      <c r="Z69" s="66">
        <v>182000</v>
      </c>
      <c r="AA69" s="66">
        <v>0</v>
      </c>
      <c r="AB69" s="66">
        <v>0</v>
      </c>
      <c r="AC69" s="122">
        <f t="shared" si="19"/>
        <v>97156.807142857142</v>
      </c>
      <c r="AD69" s="122"/>
      <c r="AE69" s="80">
        <f t="shared" si="20"/>
        <v>97156.807142857142</v>
      </c>
      <c r="AF69" s="82"/>
      <c r="AG69" s="88">
        <v>0</v>
      </c>
      <c r="AH69" s="88">
        <v>0</v>
      </c>
      <c r="AI69" s="91">
        <v>0</v>
      </c>
      <c r="AJ69" s="84">
        <v>0</v>
      </c>
      <c r="AK69" s="82"/>
      <c r="AL69" s="138">
        <v>85000</v>
      </c>
      <c r="AM69" s="84">
        <v>0</v>
      </c>
      <c r="AN69" s="82"/>
      <c r="AO69" s="80">
        <f t="shared" si="21"/>
        <v>12156.807142857142</v>
      </c>
      <c r="AP69" s="63"/>
      <c r="AQ69" s="93">
        <v>0</v>
      </c>
      <c r="AR69" s="93">
        <v>0</v>
      </c>
      <c r="AS69" s="180">
        <v>0</v>
      </c>
      <c r="AT69" s="180">
        <v>0</v>
      </c>
      <c r="AU69" s="180">
        <v>0</v>
      </c>
      <c r="AV69" s="115">
        <v>0</v>
      </c>
      <c r="AW69" s="180">
        <v>0</v>
      </c>
      <c r="AX69" s="184">
        <f t="shared" si="25"/>
        <v>0</v>
      </c>
      <c r="AY69" s="80">
        <f t="shared" si="22"/>
        <v>12156.807142857142</v>
      </c>
      <c r="AZ69" s="180">
        <v>0</v>
      </c>
      <c r="BA69" s="181">
        <v>0</v>
      </c>
      <c r="BB69" s="180">
        <v>0</v>
      </c>
      <c r="BC69" s="180">
        <v>0</v>
      </c>
      <c r="BD69" s="94"/>
      <c r="BE69" s="80">
        <f t="shared" si="23"/>
        <v>12156.807142857142</v>
      </c>
      <c r="BF69" s="115">
        <v>0</v>
      </c>
      <c r="BG69" s="115">
        <v>0</v>
      </c>
      <c r="BH69" s="180">
        <v>0</v>
      </c>
      <c r="BI69" s="115">
        <v>0</v>
      </c>
      <c r="BJ69" s="115">
        <v>0</v>
      </c>
      <c r="BK69" s="107"/>
      <c r="BL69" s="114">
        <f t="shared" si="24"/>
        <v>12156.807142857142</v>
      </c>
    </row>
    <row r="70" spans="1:64" ht="13.8" thickBot="1" x14ac:dyDescent="0.3">
      <c r="A70" s="63">
        <v>198</v>
      </c>
      <c r="B70" s="75" t="s">
        <v>141</v>
      </c>
      <c r="C70" s="61">
        <f>+GETPIVOTDATA("ADJBAL",AGTRAXDATA!$F$1,"BRANCH_NUMBER",198,"COMMODITY_CODE","01")/60</f>
        <v>127938.96666666666</v>
      </c>
      <c r="D70" s="61">
        <f>+GETPIVOTDATA("ADJBAL",AGTRAXDATA!$F$1,"BRANCH_NUMBER",198,"COMMODITY_CODE","02")/56</f>
        <v>0</v>
      </c>
      <c r="E70" s="61">
        <f>+GETPIVOTDATA("ADJBAL",AGTRAXDATA!$F$1,"BRANCH_NUMBER",198,"COMMODITY_CODE","04")/56</f>
        <v>0</v>
      </c>
      <c r="F70" s="61">
        <f>+GETPIVOTDATA("ADJBAL",AGTRAXDATA!$F$1,"BRANCH_NUMBER",198,"COMMODITY_CODE","03")/60</f>
        <v>0</v>
      </c>
      <c r="G70" s="61">
        <f>+GETPIVOTDATA("ADJBAL",AGTRAXDATA!$F$1,"BRANCH_NUMBER",198,"COMMODITY_CODE","22")/25</f>
        <v>0</v>
      </c>
      <c r="H70" s="76">
        <v>0</v>
      </c>
      <c r="I70" s="76"/>
      <c r="J70" s="80">
        <f t="shared" si="17"/>
        <v>127938.96666666666</v>
      </c>
      <c r="K70" s="66"/>
      <c r="L70" s="61">
        <f>+GETPIVOTDATA("LBS_UPDATED",SALESCONTRACTS!$E$1,"BRANCH_NUMBER",198,"COMMODITY_CODE","01")/60</f>
        <v>0</v>
      </c>
      <c r="M70" s="61">
        <f>+GETPIVOTDATA("LBS_UPDATED",SALESCONTRACTS!$E$1,"BRANCH_NUMBER",198,"COMMODITY_CODE","02")/56</f>
        <v>0</v>
      </c>
      <c r="N70" s="61">
        <f>+GETPIVOTDATA("LBS_UPDATED",SALESCONTRACTS!$E$1,"BRANCH_NUMBER",198,"COMMODITY_CODE","04")/56</f>
        <v>0</v>
      </c>
      <c r="O70" s="61">
        <f>+GETPIVOTDATA("LBS_UPDATED",SALESCONTRACTS!$E$1,"BRANCH_NUMBER",198,"COMMODITY_CODE","03")/60</f>
        <v>0</v>
      </c>
      <c r="P70" s="61">
        <f>+GETPIVOTDATA("LBS_UPDATED",SALESCONTRACTS!$E$1,"BRANCH_NUMBER",198,"COMMODITY_CODE","22")/25</f>
        <v>0</v>
      </c>
      <c r="Q70" s="66">
        <v>0</v>
      </c>
      <c r="R70" s="66">
        <v>0</v>
      </c>
      <c r="S70" s="66">
        <v>0</v>
      </c>
      <c r="T70" s="66">
        <v>0</v>
      </c>
      <c r="U70" s="85">
        <v>0</v>
      </c>
      <c r="V70" s="171">
        <v>0</v>
      </c>
      <c r="W70" s="82"/>
      <c r="X70" s="80">
        <f t="shared" si="18"/>
        <v>127938.96666666666</v>
      </c>
      <c r="Y70" s="66"/>
      <c r="Z70" s="66">
        <v>0</v>
      </c>
      <c r="AA70" s="66">
        <v>0</v>
      </c>
      <c r="AB70" s="66">
        <v>0</v>
      </c>
      <c r="AC70" s="122">
        <f t="shared" si="19"/>
        <v>-127938.96666666666</v>
      </c>
      <c r="AD70" s="122"/>
      <c r="AE70" s="80">
        <f t="shared" si="20"/>
        <v>-127938.96666666666</v>
      </c>
      <c r="AF70" s="82"/>
      <c r="AG70" s="88">
        <v>0</v>
      </c>
      <c r="AH70" s="88">
        <v>0</v>
      </c>
      <c r="AI70" s="91">
        <v>0</v>
      </c>
      <c r="AJ70" s="84">
        <v>0</v>
      </c>
      <c r="AK70" s="82"/>
      <c r="AL70" s="86">
        <v>0</v>
      </c>
      <c r="AM70" s="84">
        <v>0</v>
      </c>
      <c r="AN70" s="82"/>
      <c r="AO70" s="80">
        <f t="shared" si="21"/>
        <v>-127938.96666666666</v>
      </c>
      <c r="AP70" s="63"/>
      <c r="AQ70" s="93">
        <v>0</v>
      </c>
      <c r="AR70" s="93">
        <v>0</v>
      </c>
      <c r="AS70" s="180">
        <v>0</v>
      </c>
      <c r="AT70" s="180">
        <v>0</v>
      </c>
      <c r="AU70" s="180">
        <v>0</v>
      </c>
      <c r="AV70" s="115">
        <v>0</v>
      </c>
      <c r="AW70" s="180">
        <v>0</v>
      </c>
      <c r="AX70" s="184">
        <f t="shared" si="25"/>
        <v>0</v>
      </c>
      <c r="AY70" s="80">
        <f t="shared" si="22"/>
        <v>-127938.96666666666</v>
      </c>
      <c r="AZ70" s="64">
        <v>30000</v>
      </c>
      <c r="BA70" s="181">
        <v>0</v>
      </c>
      <c r="BB70" s="180">
        <v>0</v>
      </c>
      <c r="BC70" s="180">
        <v>0</v>
      </c>
      <c r="BD70" s="94"/>
      <c r="BE70" s="80">
        <f t="shared" si="23"/>
        <v>-97938.96666666666</v>
      </c>
      <c r="BF70" s="115">
        <v>100000</v>
      </c>
      <c r="BG70" s="115">
        <v>0</v>
      </c>
      <c r="BH70" s="180">
        <v>0</v>
      </c>
      <c r="BI70" s="115">
        <v>0</v>
      </c>
      <c r="BJ70" s="115">
        <v>0</v>
      </c>
      <c r="BK70" s="107"/>
      <c r="BL70" s="114">
        <f t="shared" si="24"/>
        <v>2061.0333333333401</v>
      </c>
    </row>
    <row r="71" spans="1:64" ht="13.8" thickBot="1" x14ac:dyDescent="0.3">
      <c r="A71" s="63">
        <v>193</v>
      </c>
      <c r="B71" s="75" t="s">
        <v>142</v>
      </c>
      <c r="C71" s="61">
        <f>+GETPIVOTDATA("ADJBAL",AGTRAXDATA!$F$1,"BRANCH_NUMBER",193,"COMMODITY_CODE","01")/60</f>
        <v>0</v>
      </c>
      <c r="D71" s="61">
        <f>+GETPIVOTDATA("ADJBAL",AGTRAXDATA!$F$1,"BRANCH_NUMBER",193,"COMMODITY_CODE","02")/56</f>
        <v>31065.232142857141</v>
      </c>
      <c r="E71" s="61">
        <f>+GETPIVOTDATA("ADJBAL",AGTRAXDATA!$F$1,"BRANCH_NUMBER",193,"COMMODITY_CODE","04")/56</f>
        <v>14665.339285714286</v>
      </c>
      <c r="F71" s="61">
        <f>+GETPIVOTDATA("ADJBAL",AGTRAXDATA!$F$1,"BRANCH_NUMBER",193,"COMMODITY_CODE","03")/60</f>
        <v>84763.083333333328</v>
      </c>
      <c r="G71" s="61">
        <f>+GETPIVOTDATA("ADJBAL",AGTRAXDATA!$F$1,"BRANCH_NUMBER",193,"COMMODITY_CODE","22")/25</f>
        <v>0</v>
      </c>
      <c r="H71" s="76">
        <v>0</v>
      </c>
      <c r="I71" s="76"/>
      <c r="J71" s="80">
        <f t="shared" si="17"/>
        <v>130493.65476190476</v>
      </c>
      <c r="K71" s="66"/>
      <c r="L71" s="61">
        <f>+GETPIVOTDATA("LBS_UPDATED",SALESCONTRACTS!$E$1,"BRANCH_NUMBER",198,"COMMODITY_CODE","01")/60</f>
        <v>0</v>
      </c>
      <c r="M71" s="61">
        <f>+GETPIVOTDATA("LBS_UPDATED",SALESCONTRACTS!$E$1,"BRANCH_NUMBER",193,"COMMODITY_CODE","02")/56</f>
        <v>0</v>
      </c>
      <c r="N71" s="61">
        <f>+GETPIVOTDATA("LBS_UPDATED",SALESCONTRACTS!$E$1,"BRANCH_NUMBER",193,"COMMODITY_CODE","04")/56</f>
        <v>60</v>
      </c>
      <c r="O71" s="61">
        <f>+GETPIVOTDATA("LBS_UPDATED",SALESCONTRACTS!$E$1,"BRANCH_NUMBER",193,"COMMODITY_CODE","03")/60</f>
        <v>868.76666666666665</v>
      </c>
      <c r="P71" s="61">
        <f>+GETPIVOTDATA("LBS_UPDATED",SALESCONTRACTS!$E$1,"BRANCH_NUMBER",193,"COMMODITY_CODE","22")/25</f>
        <v>0</v>
      </c>
      <c r="Q71" s="66">
        <v>0</v>
      </c>
      <c r="R71" s="66">
        <v>0</v>
      </c>
      <c r="S71" s="66">
        <v>0</v>
      </c>
      <c r="T71" s="66">
        <v>0</v>
      </c>
      <c r="U71" s="85">
        <v>0</v>
      </c>
      <c r="V71" s="171">
        <v>0</v>
      </c>
      <c r="W71" s="82"/>
      <c r="X71" s="80">
        <f t="shared" si="18"/>
        <v>129564.8880952381</v>
      </c>
      <c r="Y71" s="66"/>
      <c r="Z71" s="66">
        <v>234000</v>
      </c>
      <c r="AA71" s="66">
        <v>0</v>
      </c>
      <c r="AB71" s="66">
        <v>0</v>
      </c>
      <c r="AC71" s="122">
        <f t="shared" si="19"/>
        <v>103506.34523809524</v>
      </c>
      <c r="AD71" s="122"/>
      <c r="AE71" s="80">
        <f t="shared" si="20"/>
        <v>104435.1119047619</v>
      </c>
      <c r="AF71" s="82"/>
      <c r="AG71" s="88">
        <v>0</v>
      </c>
      <c r="AH71" s="88">
        <v>0</v>
      </c>
      <c r="AI71" s="91">
        <v>0</v>
      </c>
      <c r="AJ71" s="84">
        <v>0</v>
      </c>
      <c r="AK71" s="82"/>
      <c r="AL71" s="138">
        <v>240000</v>
      </c>
      <c r="AM71" s="84">
        <v>0</v>
      </c>
      <c r="AN71" s="82"/>
      <c r="AO71" s="80">
        <f t="shared" si="21"/>
        <v>-135564.8880952381</v>
      </c>
      <c r="AP71" s="63"/>
      <c r="AQ71" s="93">
        <v>0</v>
      </c>
      <c r="AR71" s="93">
        <v>0</v>
      </c>
      <c r="AS71" s="180">
        <v>0</v>
      </c>
      <c r="AT71" s="180">
        <v>0</v>
      </c>
      <c r="AU71" s="64">
        <v>15000</v>
      </c>
      <c r="AV71" s="64">
        <v>84000</v>
      </c>
      <c r="AW71" s="180">
        <v>0</v>
      </c>
      <c r="AX71" s="184">
        <f t="shared" si="25"/>
        <v>99000</v>
      </c>
      <c r="AY71" s="80">
        <f t="shared" si="22"/>
        <v>-36564.888095238101</v>
      </c>
      <c r="AZ71" s="180">
        <v>0</v>
      </c>
      <c r="BA71" s="181">
        <v>0</v>
      </c>
      <c r="BB71" s="180">
        <v>0</v>
      </c>
      <c r="BC71" s="180">
        <v>0</v>
      </c>
      <c r="BD71" s="94"/>
      <c r="BE71" s="80">
        <f t="shared" si="23"/>
        <v>-36564.888095238101</v>
      </c>
      <c r="BF71" s="115">
        <v>0</v>
      </c>
      <c r="BG71" s="115">
        <v>0</v>
      </c>
      <c r="BH71" s="180">
        <v>0</v>
      </c>
      <c r="BI71" s="115">
        <v>0</v>
      </c>
      <c r="BJ71" s="115">
        <v>0</v>
      </c>
      <c r="BK71" s="107"/>
      <c r="BL71" s="114">
        <f t="shared" si="24"/>
        <v>-36564.888095238101</v>
      </c>
    </row>
    <row r="72" spans="1:64" ht="13.8" thickBot="1" x14ac:dyDescent="0.3">
      <c r="A72" s="63">
        <v>194</v>
      </c>
      <c r="B72" s="75" t="s">
        <v>143</v>
      </c>
      <c r="C72" s="61">
        <f>+GETPIVOTDATA("ADJBAL",AGTRAXDATA!$F$1,"BRANCH_NUMBER",194,"COMMODITY_CODE","01")/60</f>
        <v>372015.93333333335</v>
      </c>
      <c r="D72" s="61">
        <f>+GETPIVOTDATA("ADJBAL",AGTRAXDATA!$F$1,"BRANCH_NUMBER",194,"COMMODITY_CODE","02")/56</f>
        <v>0</v>
      </c>
      <c r="E72" s="142">
        <f>+GETPIVOTDATA("ADJBAL",AGTRAXDATA!$F$1,"BRANCH_NUMBER",194,"COMMODITY_CODE","04")/56</f>
        <v>0</v>
      </c>
      <c r="F72" s="61">
        <f>+GETPIVOTDATA("ADJBAL",AGTRAXDATA!$F$1,"BRANCH_NUMBER",194,"COMMODITY_CODE","03")/60</f>
        <v>0</v>
      </c>
      <c r="G72" s="61">
        <f>+GETPIVOTDATA("ADJBAL",AGTRAXDATA!$F$1,"BRANCH_NUMBER",194,"COMMODITY_CODE","22")/25</f>
        <v>0</v>
      </c>
      <c r="H72" s="76">
        <v>0</v>
      </c>
      <c r="I72" s="76"/>
      <c r="J72" s="80">
        <f t="shared" si="17"/>
        <v>372015.93333333335</v>
      </c>
      <c r="K72" s="66"/>
      <c r="L72" s="61">
        <f>+GETPIVOTDATA("LBS_UPDATED",SALESCONTRACTS!$E$1,"BRANCH_NUMBER",198,"COMMODITY_CODE","01")/60</f>
        <v>0</v>
      </c>
      <c r="M72" s="61">
        <f>+GETPIVOTDATA("LBS_UPDATED",SALESCONTRACTS!$E$1,"BRANCH_NUMBER",193,"COMMODITY_CODE","02")/56</f>
        <v>0</v>
      </c>
      <c r="N72" s="61">
        <f>+GETPIVOTDATA("LBS_UPDATED",SALESCONTRACTS!$E$1,"BRANCH_NUMBER",194,"COMMODITY_CODE","04")/56</f>
        <v>0</v>
      </c>
      <c r="O72" s="61">
        <f>+GETPIVOTDATA("LBS_UPDATED",SALESCONTRACTS!$E$1,"BRANCH_NUMBER",194,"COMMODITY_CODE","03")/60</f>
        <v>0</v>
      </c>
      <c r="P72" s="61">
        <f>+GETPIVOTDATA("LBS_UPDATED",SALESCONTRACTS!$E$1,"BRANCH_NUMBER",194,"COMMODITY_CODE","22")/25</f>
        <v>0</v>
      </c>
      <c r="Q72" s="66">
        <v>0</v>
      </c>
      <c r="R72" s="66">
        <v>0</v>
      </c>
      <c r="S72" s="66">
        <v>0</v>
      </c>
      <c r="T72" s="66">
        <v>0</v>
      </c>
      <c r="U72" s="85">
        <v>0</v>
      </c>
      <c r="V72" s="171">
        <v>0</v>
      </c>
      <c r="W72" s="82"/>
      <c r="X72" s="80">
        <f t="shared" si="18"/>
        <v>372015.93333333335</v>
      </c>
      <c r="Y72" s="66"/>
      <c r="Z72" s="66">
        <v>168000</v>
      </c>
      <c r="AA72" s="66">
        <v>341000</v>
      </c>
      <c r="AB72" s="66">
        <v>0</v>
      </c>
      <c r="AC72" s="122">
        <f t="shared" si="19"/>
        <v>136984.06666666665</v>
      </c>
      <c r="AD72" s="122"/>
      <c r="AE72" s="80">
        <f t="shared" si="20"/>
        <v>136984.06666666665</v>
      </c>
      <c r="AF72" s="82"/>
      <c r="AG72" s="88">
        <v>0</v>
      </c>
      <c r="AH72" s="88">
        <v>0</v>
      </c>
      <c r="AI72" s="91">
        <v>0</v>
      </c>
      <c r="AJ72" s="84">
        <v>0</v>
      </c>
      <c r="AK72" s="82"/>
      <c r="AL72" s="85">
        <v>0</v>
      </c>
      <c r="AM72" s="84">
        <v>0</v>
      </c>
      <c r="AN72" s="82"/>
      <c r="AO72" s="80">
        <f t="shared" si="21"/>
        <v>136984.06666666665</v>
      </c>
      <c r="AP72" s="63"/>
      <c r="AQ72" s="93">
        <v>0</v>
      </c>
      <c r="AR72" s="93">
        <v>0</v>
      </c>
      <c r="AS72" s="180">
        <v>0</v>
      </c>
      <c r="AT72" s="180">
        <v>0</v>
      </c>
      <c r="AU72" s="180">
        <v>0</v>
      </c>
      <c r="AV72" s="180">
        <v>0</v>
      </c>
      <c r="AW72" s="180">
        <v>0</v>
      </c>
      <c r="AX72" s="184">
        <f t="shared" si="25"/>
        <v>0</v>
      </c>
      <c r="AY72" s="80">
        <f t="shared" si="22"/>
        <v>136984.06666666665</v>
      </c>
      <c r="AZ72" s="180">
        <v>0</v>
      </c>
      <c r="BA72" s="181">
        <v>0</v>
      </c>
      <c r="BB72" s="180">
        <v>0</v>
      </c>
      <c r="BC72" s="180">
        <v>0</v>
      </c>
      <c r="BD72" s="94"/>
      <c r="BE72" s="80">
        <f t="shared" si="23"/>
        <v>136984.06666666665</v>
      </c>
      <c r="BF72" s="115">
        <v>0</v>
      </c>
      <c r="BG72" s="115">
        <v>0</v>
      </c>
      <c r="BH72" s="180">
        <v>0</v>
      </c>
      <c r="BI72" s="115">
        <v>0</v>
      </c>
      <c r="BJ72" s="115">
        <v>0</v>
      </c>
      <c r="BK72" s="107"/>
      <c r="BL72" s="114">
        <f t="shared" si="24"/>
        <v>136984.06666666665</v>
      </c>
    </row>
    <row r="73" spans="1:64" ht="13.8" thickBot="1" x14ac:dyDescent="0.3">
      <c r="A73" s="63">
        <v>192</v>
      </c>
      <c r="B73" s="75" t="s">
        <v>144</v>
      </c>
      <c r="C73" s="61">
        <f>+GETPIVOTDATA("ADJBAL",AGTRAXDATA!$F$1,"BRANCH_NUMBER",192,"COMMODITY_CODE","01")/60</f>
        <v>249316.63333333333</v>
      </c>
      <c r="D73" s="61">
        <f>+GETPIVOTDATA("ADJBAL",AGTRAXDATA!$F$1,"BRANCH_NUMBER",192,"COMMODITY_CODE","02")/56</f>
        <v>38637.982142857145</v>
      </c>
      <c r="E73" s="61">
        <f>+GETPIVOTDATA("ADJBAL",AGTRAXDATA!$F$1,"BRANCH_NUMBER",192,"COMMODITY_CODE","04")/56</f>
        <v>30521.571428571428</v>
      </c>
      <c r="F73" s="61">
        <f>+GETPIVOTDATA("ADJBAL",AGTRAXDATA!$F$1,"BRANCH_NUMBER",192,"COMMODITY_CODE","03")/60</f>
        <v>359795.63333333336</v>
      </c>
      <c r="G73" s="61">
        <f>+GETPIVOTDATA("ADJBAL",AGTRAXDATA!$F$1,"BRANCH_NUMBER",192,"COMMODITY_CODE","22")/25</f>
        <v>0</v>
      </c>
      <c r="H73" s="76">
        <v>0</v>
      </c>
      <c r="I73" s="76"/>
      <c r="J73" s="80">
        <f t="shared" si="17"/>
        <v>678271.82023809524</v>
      </c>
      <c r="K73" s="66"/>
      <c r="L73" s="61">
        <f>+GETPIVOTDATA("LBS_UPDATED",SALESCONTRACTS!$E$1,"BRANCH_NUMBER",198,"COMMODITY_CODE","01")/60</f>
        <v>0</v>
      </c>
      <c r="M73" s="61">
        <f>+GETPIVOTDATA("LBS_UPDATED",SALESCONTRACTS!$E$1,"BRANCH_NUMBER",193,"COMMODITY_CODE","02")/56</f>
        <v>0</v>
      </c>
      <c r="N73" s="61">
        <f>+GETPIVOTDATA("LBS_UPDATED",SALESCONTRACTS!$E$1,"BRANCH_NUMBER",192,"COMMODITY_CODE","04")/56</f>
        <v>0</v>
      </c>
      <c r="O73" s="61">
        <f>+GETPIVOTDATA("LBS_UPDATED",SALESCONTRACTS!$E$1,"BRANCH_NUMBER",192,"COMMODITY_CODE","03")/60</f>
        <v>0</v>
      </c>
      <c r="P73" s="61">
        <f>+GETPIVOTDATA("LBS_UPDATED",SALESCONTRACTS!$E$1,"BRANCH_NUMBER",192,"COMMODITY_CODE","22")/25</f>
        <v>0</v>
      </c>
      <c r="Q73" s="66">
        <v>0</v>
      </c>
      <c r="R73" s="66">
        <v>0</v>
      </c>
      <c r="S73" s="66">
        <v>0</v>
      </c>
      <c r="T73" s="66">
        <v>0</v>
      </c>
      <c r="U73" s="85">
        <v>0</v>
      </c>
      <c r="V73" s="171">
        <v>0</v>
      </c>
      <c r="W73" s="82"/>
      <c r="X73" s="80">
        <f t="shared" si="18"/>
        <v>678271.82023809524</v>
      </c>
      <c r="Y73" s="66"/>
      <c r="Z73" s="66">
        <v>1060000</v>
      </c>
      <c r="AA73" s="66">
        <v>0</v>
      </c>
      <c r="AB73" s="66">
        <v>0</v>
      </c>
      <c r="AC73" s="122">
        <f t="shared" si="19"/>
        <v>381728.17976190476</v>
      </c>
      <c r="AD73" s="122"/>
      <c r="AE73" s="80">
        <f t="shared" si="20"/>
        <v>381728.17976190476</v>
      </c>
      <c r="AF73" s="82"/>
      <c r="AG73" s="88">
        <v>0</v>
      </c>
      <c r="AH73" s="88">
        <v>0</v>
      </c>
      <c r="AI73" s="91">
        <v>0</v>
      </c>
      <c r="AJ73" s="84">
        <v>0</v>
      </c>
      <c r="AK73" s="82"/>
      <c r="AL73" s="138">
        <v>425000</v>
      </c>
      <c r="AM73" s="84">
        <v>0</v>
      </c>
      <c r="AN73" s="82"/>
      <c r="AO73" s="80">
        <f t="shared" si="21"/>
        <v>-43271.820238095243</v>
      </c>
      <c r="AP73" s="63"/>
      <c r="AQ73" s="93">
        <v>0</v>
      </c>
      <c r="AR73" s="93">
        <v>0</v>
      </c>
      <c r="AS73" s="180">
        <v>0</v>
      </c>
      <c r="AT73" s="180">
        <v>0</v>
      </c>
      <c r="AU73" s="180">
        <v>0</v>
      </c>
      <c r="AV73" s="180">
        <v>0</v>
      </c>
      <c r="AW73" s="180">
        <v>0</v>
      </c>
      <c r="AX73" s="184">
        <f t="shared" si="25"/>
        <v>0</v>
      </c>
      <c r="AY73" s="80">
        <f t="shared" si="22"/>
        <v>-43271.820238095243</v>
      </c>
      <c r="AZ73" s="180">
        <v>0</v>
      </c>
      <c r="BA73" s="181">
        <v>0</v>
      </c>
      <c r="BB73" s="64">
        <v>31000</v>
      </c>
      <c r="BC73" s="180">
        <v>0</v>
      </c>
      <c r="BD73" s="94"/>
      <c r="BE73" s="80">
        <f t="shared" si="23"/>
        <v>-12271.820238095243</v>
      </c>
      <c r="BF73" s="115">
        <v>0</v>
      </c>
      <c r="BG73" s="115">
        <v>0</v>
      </c>
      <c r="BH73" s="180">
        <v>0</v>
      </c>
      <c r="BI73" s="115">
        <v>0</v>
      </c>
      <c r="BJ73" s="115">
        <v>0</v>
      </c>
      <c r="BK73" s="107"/>
      <c r="BL73" s="114">
        <f t="shared" si="24"/>
        <v>-12271.820238095243</v>
      </c>
    </row>
    <row r="74" spans="1:64" ht="13.8" thickBot="1" x14ac:dyDescent="0.3">
      <c r="A74" s="63">
        <v>200</v>
      </c>
      <c r="B74" s="75" t="s">
        <v>196</v>
      </c>
      <c r="C74" s="61">
        <f>+GETPIVOTDATA("ADJBAL",AGTRAXDATA!$F$1,"BRANCH_NUMBER",200,"COMMODITY_CODE","01")/60</f>
        <v>674108.96666666667</v>
      </c>
      <c r="D74" s="61"/>
      <c r="E74" s="61"/>
      <c r="F74" s="61"/>
      <c r="G74" s="61"/>
      <c r="H74" s="76">
        <v>0</v>
      </c>
      <c r="I74" s="76"/>
      <c r="J74" s="80">
        <f t="shared" si="17"/>
        <v>674108.96666666667</v>
      </c>
      <c r="K74" s="66"/>
      <c r="L74" s="61">
        <f>+GETPIVOTDATA("LBS_UPDATED",SALESCONTRACTS!$E$1,"BRANCH_NUMBER",198,"COMMODITY_CODE","01")/60</f>
        <v>0</v>
      </c>
      <c r="M74" s="61">
        <f>+GETPIVOTDATA("LBS_UPDATED",SALESCONTRACTS!$E$1,"BRANCH_NUMBER",193,"COMMODITY_CODE","02")/56</f>
        <v>0</v>
      </c>
      <c r="N74" s="61">
        <f>+GETPIVOTDATA("LBS_UPDATED",SALESCONTRACTS!$E$1,"BRANCH_NUMBER",192,"COMMODITY_CODE","04")/56</f>
        <v>0</v>
      </c>
      <c r="O74" s="61">
        <f>+GETPIVOTDATA("LBS_UPDATED",SALESCONTRACTS!$E$1,"BRANCH_NUMBER",192,"COMMODITY_CODE","03")/60</f>
        <v>0</v>
      </c>
      <c r="P74" s="61">
        <f>+GETPIVOTDATA("LBS_UPDATED",SALESCONTRACTS!$E$1,"BRANCH_NUMBER",192,"COMMODITY_CODE","22")/25</f>
        <v>0</v>
      </c>
      <c r="Q74" s="66">
        <v>0</v>
      </c>
      <c r="R74" s="66">
        <v>0</v>
      </c>
      <c r="S74" s="66">
        <v>0</v>
      </c>
      <c r="T74" s="66">
        <v>0</v>
      </c>
      <c r="U74" s="85">
        <v>0</v>
      </c>
      <c r="V74" s="171">
        <v>0</v>
      </c>
      <c r="W74" s="82"/>
      <c r="X74" s="80">
        <f t="shared" si="18"/>
        <v>674108.96666666667</v>
      </c>
      <c r="Y74" s="66"/>
      <c r="Z74" s="66">
        <v>675000</v>
      </c>
      <c r="AA74" s="66">
        <v>0</v>
      </c>
      <c r="AB74" s="66">
        <v>0</v>
      </c>
      <c r="AC74" s="122">
        <f t="shared" si="19"/>
        <v>891.03333333332557</v>
      </c>
      <c r="AD74" s="122"/>
      <c r="AE74" s="80">
        <f t="shared" si="20"/>
        <v>891.03333333332557</v>
      </c>
      <c r="AF74" s="82"/>
      <c r="AG74" s="88">
        <v>0</v>
      </c>
      <c r="AH74" s="88">
        <v>0</v>
      </c>
      <c r="AI74" s="91">
        <v>0</v>
      </c>
      <c r="AJ74" s="84">
        <v>0</v>
      </c>
      <c r="AK74" s="82"/>
      <c r="AL74" s="85">
        <v>0</v>
      </c>
      <c r="AM74" s="84">
        <v>0</v>
      </c>
      <c r="AN74" s="82"/>
      <c r="AO74" s="80">
        <f t="shared" si="21"/>
        <v>891.03333333332557</v>
      </c>
      <c r="AP74" s="63"/>
      <c r="AQ74" s="93">
        <v>0</v>
      </c>
      <c r="AR74" s="93">
        <v>0</v>
      </c>
      <c r="AS74" s="180">
        <v>0</v>
      </c>
      <c r="AT74" s="180">
        <v>0</v>
      </c>
      <c r="AU74" s="180">
        <v>0</v>
      </c>
      <c r="AV74" s="180">
        <v>0</v>
      </c>
      <c r="AW74" s="180">
        <v>0</v>
      </c>
      <c r="AX74" s="184">
        <f t="shared" si="25"/>
        <v>0</v>
      </c>
      <c r="AY74" s="80">
        <f t="shared" si="22"/>
        <v>891.03333333332557</v>
      </c>
      <c r="AZ74" s="180">
        <v>0</v>
      </c>
      <c r="BA74" s="181">
        <v>0</v>
      </c>
      <c r="BB74" s="180">
        <v>0</v>
      </c>
      <c r="BC74" s="180">
        <v>0</v>
      </c>
      <c r="BD74" s="94"/>
      <c r="BE74" s="80">
        <f t="shared" si="23"/>
        <v>891.03333333332557</v>
      </c>
      <c r="BF74" s="115">
        <v>0</v>
      </c>
      <c r="BG74" s="115">
        <v>0</v>
      </c>
      <c r="BH74" s="180">
        <v>0</v>
      </c>
      <c r="BI74" s="115">
        <v>0</v>
      </c>
      <c r="BJ74" s="115">
        <v>0</v>
      </c>
      <c r="BK74" s="107"/>
      <c r="BL74" s="114">
        <f t="shared" si="24"/>
        <v>891.03333333332557</v>
      </c>
    </row>
    <row r="75" spans="1:64" ht="13.8" thickBot="1" x14ac:dyDescent="0.3">
      <c r="A75" s="63">
        <v>565</v>
      </c>
      <c r="B75" s="75" t="s">
        <v>149</v>
      </c>
      <c r="C75" s="61">
        <f>+GETPIVOTDATA("ADJBAL",AGTRAXDATA!$F$1,"BRANCH_NUMBER",565,"COMMODITY_CODE","01")/60</f>
        <v>471879.66666666669</v>
      </c>
      <c r="D75" s="61">
        <f>+GETPIVOTDATA("ADJBAL",AGTRAXDATA!$F$1,"BRANCH_NUMBER",565,"COMMODITY_CODE","02")/56</f>
        <v>0</v>
      </c>
      <c r="E75" s="61">
        <f>+GETPIVOTDATA("ADJBAL",AGTRAXDATA!$F$1,"BRANCH_NUMBER",565,"COMMODITY_CODE","04")/56</f>
        <v>0</v>
      </c>
      <c r="F75" s="61">
        <f>+GETPIVOTDATA("ADJBAL",AGTRAXDATA!$F$1,"BRANCH_NUMBER",565,"COMMODITY_CODE","03")/60</f>
        <v>0</v>
      </c>
      <c r="G75" s="61">
        <f>+GETPIVOTDATA("ADJBAL",AGTRAXDATA!$F$1,"BRANCH_NUMBER",565,"COMMODITY_CODE","22")/25</f>
        <v>0</v>
      </c>
      <c r="H75" s="76">
        <v>0</v>
      </c>
      <c r="I75" s="76"/>
      <c r="J75" s="80">
        <f t="shared" si="17"/>
        <v>471879.66666666669</v>
      </c>
      <c r="K75" s="66"/>
      <c r="L75" s="61">
        <f>+GETPIVOTDATA("LBS_UPDATED",SALESCONTRACTS!$E$1,"BRANCH_NUMBER",198,"COMMODITY_CODE","01")/60</f>
        <v>0</v>
      </c>
      <c r="M75" s="61">
        <f>+GETPIVOTDATA("LBS_UPDATED",SALESCONTRACTS!$E$1,"BRANCH_NUMBER",193,"COMMODITY_CODE","02")/56</f>
        <v>0</v>
      </c>
      <c r="N75" s="61">
        <f>+GETPIVOTDATA("LBS_UPDATED",SALESCONTRACTS!$E$1,"BRANCH_NUMBER",192,"COMMODITY_CODE","04")/56</f>
        <v>0</v>
      </c>
      <c r="O75" s="61">
        <f>+GETPIVOTDATA("LBS_UPDATED",SALESCONTRACTS!$E$1,"BRANCH_NUMBER",192,"COMMODITY_CODE","03")/60</f>
        <v>0</v>
      </c>
      <c r="P75" s="61">
        <f>+GETPIVOTDATA("LBS_UPDATED",SALESCONTRACTS!$E$1,"BRANCH_NUMBER",192,"COMMODITY_CODE","22")/25</f>
        <v>0</v>
      </c>
      <c r="Q75" s="66">
        <v>0</v>
      </c>
      <c r="R75" s="66">
        <v>0</v>
      </c>
      <c r="S75" s="66">
        <v>0</v>
      </c>
      <c r="T75" s="66">
        <v>0</v>
      </c>
      <c r="U75" s="85">
        <v>0</v>
      </c>
      <c r="V75" s="171">
        <v>0</v>
      </c>
      <c r="W75" s="82"/>
      <c r="X75" s="80">
        <f t="shared" si="18"/>
        <v>471879.66666666669</v>
      </c>
      <c r="Y75" s="66"/>
      <c r="Z75" s="66">
        <v>525000</v>
      </c>
      <c r="AA75" s="66">
        <v>0</v>
      </c>
      <c r="AB75" s="66">
        <v>0</v>
      </c>
      <c r="AC75" s="122">
        <f t="shared" si="19"/>
        <v>53120.333333333314</v>
      </c>
      <c r="AD75" s="122"/>
      <c r="AE75" s="80">
        <f t="shared" si="20"/>
        <v>53120.333333333314</v>
      </c>
      <c r="AF75" s="82"/>
      <c r="AG75" s="88">
        <v>0</v>
      </c>
      <c r="AH75" s="88">
        <v>0</v>
      </c>
      <c r="AI75" s="91">
        <v>0</v>
      </c>
      <c r="AJ75" s="84">
        <v>0</v>
      </c>
      <c r="AK75" s="82"/>
      <c r="AL75" s="85">
        <v>0</v>
      </c>
      <c r="AM75" s="84">
        <v>0</v>
      </c>
      <c r="AN75" s="82"/>
      <c r="AO75" s="80">
        <f t="shared" si="21"/>
        <v>53120.333333333314</v>
      </c>
      <c r="AP75" s="63"/>
      <c r="AQ75" s="93">
        <v>0</v>
      </c>
      <c r="AR75" s="93">
        <v>0</v>
      </c>
      <c r="AS75" s="180">
        <v>0</v>
      </c>
      <c r="AT75" s="180">
        <v>0</v>
      </c>
      <c r="AU75" s="180">
        <v>0</v>
      </c>
      <c r="AV75" s="180">
        <v>0</v>
      </c>
      <c r="AW75" s="180">
        <v>0</v>
      </c>
      <c r="AX75" s="184">
        <f t="shared" si="25"/>
        <v>0</v>
      </c>
      <c r="AY75" s="80">
        <f t="shared" si="22"/>
        <v>53120.333333333314</v>
      </c>
      <c r="AZ75" s="180">
        <v>0</v>
      </c>
      <c r="BA75" s="181">
        <v>0</v>
      </c>
      <c r="BB75" s="183">
        <v>0</v>
      </c>
      <c r="BC75" s="180">
        <v>0</v>
      </c>
      <c r="BD75" s="94"/>
      <c r="BE75" s="80">
        <f t="shared" si="23"/>
        <v>53120.333333333314</v>
      </c>
      <c r="BF75" s="115">
        <v>0</v>
      </c>
      <c r="BG75" s="115">
        <v>0</v>
      </c>
      <c r="BH75" s="180">
        <v>0</v>
      </c>
      <c r="BI75" s="115">
        <v>0</v>
      </c>
      <c r="BJ75" s="115">
        <v>0</v>
      </c>
      <c r="BK75" s="107"/>
      <c r="BL75" s="114">
        <f t="shared" si="24"/>
        <v>53120.333333333314</v>
      </c>
    </row>
    <row r="76" spans="1:64" ht="13.8" thickBot="1" x14ac:dyDescent="0.3">
      <c r="A76" s="63">
        <v>566</v>
      </c>
      <c r="B76" s="75" t="s">
        <v>193</v>
      </c>
      <c r="C76" s="61">
        <f>+GETPIVOTDATA("ADJBAL",AGTRAXDATA!$F$1,"BRANCH_NUMBER",566,"COMMODITY_CODE","01")/60</f>
        <v>4547782.666666667</v>
      </c>
      <c r="D76" s="61"/>
      <c r="E76" s="61"/>
      <c r="F76" s="61"/>
      <c r="G76" s="61"/>
      <c r="H76" s="76">
        <v>0</v>
      </c>
      <c r="I76" s="76"/>
      <c r="J76" s="80">
        <f t="shared" si="17"/>
        <v>4547782.666666667</v>
      </c>
      <c r="K76" s="66"/>
      <c r="L76" s="61">
        <f>+GETPIVOTDATA("LBS_UPDATED",SALESCONTRACTS!$E$1,"BRANCH_NUMBER",198,"COMMODITY_CODE","01")/60</f>
        <v>0</v>
      </c>
      <c r="M76" s="61">
        <f>+GETPIVOTDATA("LBS_UPDATED",SALESCONTRACTS!$E$1,"BRANCH_NUMBER",193,"COMMODITY_CODE","02")/56</f>
        <v>0</v>
      </c>
      <c r="N76" s="61">
        <f>+GETPIVOTDATA("LBS_UPDATED",SALESCONTRACTS!$E$1,"BRANCH_NUMBER",192,"COMMODITY_CODE","04")/56</f>
        <v>0</v>
      </c>
      <c r="O76" s="61">
        <f>+GETPIVOTDATA("LBS_UPDATED",SALESCONTRACTS!$E$1,"BRANCH_NUMBER",192,"COMMODITY_CODE","03")/60</f>
        <v>0</v>
      </c>
      <c r="P76" s="61">
        <f>+GETPIVOTDATA("LBS_UPDATED",SALESCONTRACTS!$E$1,"BRANCH_NUMBER",192,"COMMODITY_CODE","22")/25</f>
        <v>0</v>
      </c>
      <c r="Q76" s="66">
        <v>0</v>
      </c>
      <c r="R76" s="66">
        <v>0</v>
      </c>
      <c r="S76" s="66">
        <v>0</v>
      </c>
      <c r="T76" s="66">
        <v>0</v>
      </c>
      <c r="U76" s="85">
        <v>0</v>
      </c>
      <c r="V76" s="171">
        <v>0</v>
      </c>
      <c r="W76" s="82"/>
      <c r="X76" s="80">
        <f t="shared" si="18"/>
        <v>4547782.666666667</v>
      </c>
      <c r="Y76" s="66"/>
      <c r="Z76" s="66">
        <v>4547783</v>
      </c>
      <c r="AA76" s="66">
        <v>0</v>
      </c>
      <c r="AB76" s="66">
        <v>0</v>
      </c>
      <c r="AC76" s="122">
        <f t="shared" si="19"/>
        <v>0.33333333302289248</v>
      </c>
      <c r="AD76" s="122"/>
      <c r="AE76" s="80">
        <f t="shared" si="20"/>
        <v>0.33333333302289248</v>
      </c>
      <c r="AF76" s="82"/>
      <c r="AG76" s="88">
        <v>0</v>
      </c>
      <c r="AH76" s="88">
        <v>0</v>
      </c>
      <c r="AI76" s="91">
        <v>0</v>
      </c>
      <c r="AJ76" s="84">
        <v>0</v>
      </c>
      <c r="AK76" s="82"/>
      <c r="AL76" s="85">
        <v>0</v>
      </c>
      <c r="AM76" s="84">
        <v>0</v>
      </c>
      <c r="AN76" s="82"/>
      <c r="AO76" s="80">
        <f t="shared" si="21"/>
        <v>0.33333333302289248</v>
      </c>
      <c r="AP76" s="63"/>
      <c r="AQ76" s="93">
        <v>0</v>
      </c>
      <c r="AR76" s="93">
        <v>0</v>
      </c>
      <c r="AS76" s="180">
        <v>0</v>
      </c>
      <c r="AT76" s="180">
        <v>0</v>
      </c>
      <c r="AU76" s="64">
        <v>40000</v>
      </c>
      <c r="AV76" s="180">
        <v>0</v>
      </c>
      <c r="AW76" s="180">
        <v>0</v>
      </c>
      <c r="AX76" s="94">
        <f t="shared" si="25"/>
        <v>40000</v>
      </c>
      <c r="AY76" s="80">
        <f t="shared" si="22"/>
        <v>40000.333333333023</v>
      </c>
      <c r="AZ76" s="180">
        <v>0</v>
      </c>
      <c r="BA76" s="181">
        <v>0</v>
      </c>
      <c r="BB76" s="65">
        <v>49000</v>
      </c>
      <c r="BC76" s="180">
        <v>0</v>
      </c>
      <c r="BD76" s="94"/>
      <c r="BE76" s="80">
        <f t="shared" si="23"/>
        <v>89000.333333333023</v>
      </c>
      <c r="BF76" s="115">
        <v>0</v>
      </c>
      <c r="BG76" s="115">
        <v>0</v>
      </c>
      <c r="BH76" s="180">
        <v>0</v>
      </c>
      <c r="BI76" s="115">
        <v>0</v>
      </c>
      <c r="BJ76" s="115">
        <v>0</v>
      </c>
      <c r="BK76" s="107"/>
      <c r="BL76" s="114">
        <f t="shared" si="24"/>
        <v>89000.333333333023</v>
      </c>
    </row>
    <row r="77" spans="1:64" ht="13.8" thickBot="1" x14ac:dyDescent="0.3">
      <c r="A77" s="63"/>
      <c r="B77" s="75" t="s">
        <v>148</v>
      </c>
      <c r="C77" s="61"/>
      <c r="D77" s="61"/>
      <c r="E77" s="61"/>
      <c r="F77" s="61"/>
      <c r="G77" s="61"/>
      <c r="H77" s="76"/>
      <c r="I77" s="76"/>
      <c r="J77" s="80">
        <f t="shared" si="17"/>
        <v>0</v>
      </c>
      <c r="K77" s="66"/>
      <c r="L77" s="61">
        <f>+GETPIVOTDATA("LBS_UPDATED",SALESCONTRACTS!$E$1,"BRANCH_NUMBER",1,"COMMODITY_CODE","01")/60</f>
        <v>2604450.8333333335</v>
      </c>
      <c r="M77" s="61">
        <f>+GETPIVOTDATA("LBS_UPDATED",SALESCONTRACTS!$E$1,"BRANCH_NUMBER",1,"COMMODITY_CODE","02")/56</f>
        <v>1490000</v>
      </c>
      <c r="N77" s="61">
        <f>+GETPIVOTDATA("LBS_UPDATED",SALESCONTRACTS!$E$1,"BRANCH_NUMBER",1,"COMMODITY_CODE","04")/56</f>
        <v>2603150</v>
      </c>
      <c r="O77" s="61">
        <f>+GETPIVOTDATA("LBS_UPDATED",SALESCONTRACTS!$E$1,"BRANCH_NUMBER",1,"COMMODITY_CODE","03")/60</f>
        <v>994975.41666666663</v>
      </c>
      <c r="P77" s="61">
        <f>+GETPIVOTDATA("LBS_UPDATED",SALESCONTRACTS!$E$1,"BRANCH_NUMBER",1,"COMMODITY_CODE","22")/25</f>
        <v>7.28</v>
      </c>
      <c r="Q77" s="66"/>
      <c r="R77" s="82"/>
      <c r="S77" s="82"/>
      <c r="T77" s="82"/>
      <c r="U77" s="85">
        <v>0</v>
      </c>
      <c r="V77" s="171">
        <v>0</v>
      </c>
      <c r="W77" s="82"/>
      <c r="X77" s="80">
        <f t="shared" si="18"/>
        <v>-7692583.5300000012</v>
      </c>
      <c r="Y77" s="66"/>
      <c r="Z77" s="66"/>
      <c r="AA77" s="66"/>
      <c r="AB77" s="66"/>
      <c r="AC77" s="122"/>
      <c r="AD77" s="122"/>
      <c r="AE77" s="80">
        <f t="shared" si="20"/>
        <v>7692583.5300000012</v>
      </c>
      <c r="AF77" s="82"/>
      <c r="AG77" s="88">
        <v>0</v>
      </c>
      <c r="AH77" s="88">
        <v>0</v>
      </c>
      <c r="AI77" s="91">
        <v>0</v>
      </c>
      <c r="AJ77" s="84">
        <v>0</v>
      </c>
      <c r="AK77" s="82"/>
      <c r="AL77" s="86"/>
      <c r="AM77" s="86"/>
      <c r="AN77" s="82"/>
      <c r="AO77" s="80">
        <f t="shared" si="21"/>
        <v>7692583.5300000012</v>
      </c>
      <c r="AP77" s="63"/>
      <c r="AQ77" s="93"/>
      <c r="AR77" s="93"/>
      <c r="AS77" s="64">
        <v>1230000</v>
      </c>
      <c r="AT77" s="64">
        <v>400000</v>
      </c>
      <c r="AU77" s="64">
        <v>800000</v>
      </c>
      <c r="AV77" s="64">
        <v>118000</v>
      </c>
      <c r="AW77" s="64"/>
      <c r="AX77" s="94">
        <f t="shared" si="25"/>
        <v>2548000</v>
      </c>
      <c r="AY77" s="80">
        <f t="shared" si="22"/>
        <v>10240583.530000001</v>
      </c>
      <c r="AZ77" s="64">
        <v>-2550000</v>
      </c>
      <c r="BA77" s="64"/>
      <c r="BB77" s="64">
        <v>-1420000</v>
      </c>
      <c r="BC77" s="64"/>
      <c r="BD77" s="94"/>
      <c r="BE77" s="80">
        <f t="shared" si="23"/>
        <v>6270583.5300000012</v>
      </c>
      <c r="BF77" s="115"/>
      <c r="BG77" s="115"/>
      <c r="BH77" s="115"/>
      <c r="BI77" s="115"/>
      <c r="BJ77" s="115"/>
      <c r="BK77" s="107"/>
      <c r="BL77" s="114">
        <f t="shared" si="24"/>
        <v>6270583.5300000012</v>
      </c>
    </row>
    <row r="78" spans="1:64" x14ac:dyDescent="0.25">
      <c r="A78" s="63"/>
      <c r="B78" s="75" t="s">
        <v>1</v>
      </c>
      <c r="C78" s="61">
        <f t="shared" ref="C78:H78" si="26">SUM(C2:C77)</f>
        <v>26648093.583333332</v>
      </c>
      <c r="D78" s="61">
        <f t="shared" si="26"/>
        <v>3920705.7321428577</v>
      </c>
      <c r="E78" s="61">
        <f t="shared" si="26"/>
        <v>11253778.910714284</v>
      </c>
      <c r="F78" s="61">
        <f t="shared" si="26"/>
        <v>11305947.199999999</v>
      </c>
      <c r="G78" s="61">
        <f t="shared" si="26"/>
        <v>60.039999999999907</v>
      </c>
      <c r="H78" s="61">
        <f t="shared" si="26"/>
        <v>0</v>
      </c>
      <c r="I78" s="78"/>
      <c r="J78" s="80">
        <f t="shared" si="17"/>
        <v>53128585.46619048</v>
      </c>
      <c r="K78" s="81"/>
      <c r="L78" s="61">
        <f t="shared" ref="L78:V78" si="27">SUM(L2:L77)</f>
        <v>5640405.5</v>
      </c>
      <c r="M78" s="61">
        <f t="shared" si="27"/>
        <v>1520620.4464285714</v>
      </c>
      <c r="N78" s="61">
        <f t="shared" si="27"/>
        <v>4497969</v>
      </c>
      <c r="O78" s="61">
        <f t="shared" si="27"/>
        <v>1071740.5333333332</v>
      </c>
      <c r="P78" s="61">
        <f t="shared" si="27"/>
        <v>3965.5200000000004</v>
      </c>
      <c r="Q78" s="61">
        <f t="shared" si="27"/>
        <v>0</v>
      </c>
      <c r="R78" s="61">
        <f t="shared" si="27"/>
        <v>0</v>
      </c>
      <c r="S78" s="61">
        <f t="shared" si="27"/>
        <v>0</v>
      </c>
      <c r="T78" s="61">
        <f t="shared" si="27"/>
        <v>0</v>
      </c>
      <c r="U78" s="61">
        <f t="shared" si="27"/>
        <v>148500</v>
      </c>
      <c r="V78" s="61">
        <f t="shared" si="27"/>
        <v>1255000</v>
      </c>
      <c r="W78" s="87"/>
      <c r="X78" s="80">
        <f t="shared" si="18"/>
        <v>38990384.46642857</v>
      </c>
      <c r="Y78" s="81"/>
      <c r="Z78" s="61">
        <f>SUM(Z2:Z77)</f>
        <v>57000411</v>
      </c>
      <c r="AA78" s="61">
        <f>SUM(AA2:AA77)</f>
        <v>8302096</v>
      </c>
      <c r="AB78" s="61">
        <f>SUM(AB2:AB77)</f>
        <v>0</v>
      </c>
      <c r="AC78" s="123"/>
      <c r="AD78" s="123"/>
      <c r="AE78" s="80">
        <f t="shared" si="20"/>
        <v>26312122.53357143</v>
      </c>
      <c r="AF78" s="81"/>
      <c r="AG78" s="61">
        <f>SUM(AG2:AG77)</f>
        <v>0</v>
      </c>
      <c r="AH78" s="61">
        <f>SUM(AH2:AH77)</f>
        <v>0</v>
      </c>
      <c r="AI78" s="61">
        <f>SUM(AI2:AI77)</f>
        <v>0</v>
      </c>
      <c r="AJ78" s="61">
        <f>SUM(AJ2:AJ77)</f>
        <v>0</v>
      </c>
      <c r="AK78" s="61"/>
      <c r="AL78" s="61">
        <f>SUM(AL1:AL77)</f>
        <v>24152000</v>
      </c>
      <c r="AM78" s="61">
        <f>SUM(AM2:AM77)</f>
        <v>0</v>
      </c>
      <c r="AN78" s="81"/>
      <c r="AO78" s="80">
        <f t="shared" si="21"/>
        <v>2160122.5335714296</v>
      </c>
      <c r="AP78" s="81"/>
      <c r="AQ78" s="61">
        <f t="shared" ref="AQ78:AW78" si="28">SUM(AQ2:AQ77)</f>
        <v>0</v>
      </c>
      <c r="AR78" s="61">
        <f t="shared" si="28"/>
        <v>0</v>
      </c>
      <c r="AS78" s="61">
        <f t="shared" si="28"/>
        <v>2409000</v>
      </c>
      <c r="AT78" s="61">
        <f t="shared" si="28"/>
        <v>1430000</v>
      </c>
      <c r="AU78" s="61">
        <f t="shared" si="28"/>
        <v>2561000</v>
      </c>
      <c r="AV78" s="61">
        <f t="shared" si="28"/>
        <v>1109000</v>
      </c>
      <c r="AW78" s="61">
        <f t="shared" si="28"/>
        <v>0</v>
      </c>
      <c r="AX78" s="61"/>
      <c r="AY78" s="80">
        <f>SUM(AH78:AP78)</f>
        <v>26312122.53357143</v>
      </c>
      <c r="AZ78" s="61">
        <f>SUM(AZ2:AZ77)</f>
        <v>90000</v>
      </c>
      <c r="BA78" s="61">
        <f>SUM(BA2:BA77)</f>
        <v>0</v>
      </c>
      <c r="BB78" s="61">
        <f>SUM(BB2:BB77)</f>
        <v>0</v>
      </c>
      <c r="BC78" s="61">
        <f>SUM(BC2:BC77)</f>
        <v>0</v>
      </c>
      <c r="BD78" s="81"/>
      <c r="BE78" s="80">
        <f>SUM(AO78:AW78)</f>
        <v>9669122.5335714296</v>
      </c>
      <c r="BF78" s="110">
        <f>SUM(BF2:BF77)</f>
        <v>1065000</v>
      </c>
      <c r="BG78" s="110">
        <f>SUM(BG2:BG77)</f>
        <v>1632000</v>
      </c>
      <c r="BH78" s="110">
        <f>SUM(BH2:BH77)</f>
        <v>2542000</v>
      </c>
      <c r="BI78" s="110">
        <f>SUM(BI2:BI77)</f>
        <v>3046000</v>
      </c>
      <c r="BJ78" s="110">
        <f>SUM(BJ2:BJ77)</f>
        <v>0</v>
      </c>
      <c r="BK78" s="113"/>
      <c r="BL78" s="114">
        <f t="shared" si="24"/>
        <v>17954122.53357143</v>
      </c>
    </row>
  </sheetData>
  <customSheetViews>
    <customSheetView guid="{A6685E51-6E0B-411A-8D94-6874F1684A20}">
      <selection activeCell="G2" sqref="G2"/>
      <pageMargins left="0.7" right="0.7" top="0.75" bottom="0.75" header="0.3" footer="0.3"/>
    </customSheetView>
  </customSheetView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1" sqref="O11"/>
    </sheetView>
  </sheetViews>
  <sheetFormatPr defaultRowHeight="13.2" x14ac:dyDescent="0.25"/>
  <sheetData/>
  <customSheetViews>
    <customSheetView guid="{A6685E51-6E0B-411A-8D94-6874F1684A20}" state="hidden">
      <selection activeCell="O11" sqref="O1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R31" sqref="R31"/>
    </sheetView>
  </sheetViews>
  <sheetFormatPr defaultRowHeight="13.2" x14ac:dyDescent="0.25"/>
  <sheetData>
    <row r="1" spans="1:2" x14ac:dyDescent="0.25">
      <c r="A1">
        <v>171</v>
      </c>
      <c r="B1" t="s">
        <v>229</v>
      </c>
    </row>
    <row r="2" spans="1:2" x14ac:dyDescent="0.25">
      <c r="A2">
        <v>101</v>
      </c>
      <c r="B2" t="s">
        <v>230</v>
      </c>
    </row>
  </sheetData>
  <customSheetViews>
    <customSheetView guid="{787CEAB0-B665-4DDC-B6D5-0EF4B4179B2C}">
      <pageMargins left="0.7" right="0.7" top="0.75" bottom="0.75" header="0.3" footer="0.3"/>
    </customSheetView>
    <customSheetView guid="{AA02AC12-6E1B-4019-BD01-AFF4D21A6ABD}">
      <pageMargins left="0.7" right="0.7" top="0.75" bottom="0.75" header="0.3" footer="0.3"/>
    </customSheetView>
    <customSheetView guid="{B148F6D0-D380-41BC-8CCF-9098DBC3211F}">
      <pageMargins left="0.7" right="0.7" top="0.75" bottom="0.75" header="0.3" footer="0.3"/>
    </customSheetView>
    <customSheetView guid="{A6685E51-6E0B-411A-8D94-6874F1684A20}">
      <selection activeCell="R31" sqref="R31"/>
      <pageMargins left="0.7" right="0.7" top="0.75" bottom="0.75" header="0.3" footer="0.3"/>
    </customSheetView>
  </customSheetView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x>
  <Cntr/>
</Prx>
</file>

<file path=customXml/itemProps1.xml><?xml version="1.0" encoding="utf-8"?>
<ds:datastoreItem xmlns:ds="http://schemas.openxmlformats.org/officeDocument/2006/customXml" ds:itemID="{2B985828-D8AB-4421-8F87-B5A5765A544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TMA Harvest Long and Short</vt:lpstr>
      <vt:lpstr>Greenleaf Harvest Long &amp; Short</vt:lpstr>
      <vt:lpstr>tma fall LS 2002</vt:lpstr>
      <vt:lpstr>Open Fax Sheet, Long &amp; Short</vt:lpstr>
      <vt:lpstr>UPDATE</vt:lpstr>
      <vt:lpstr>Long and Short</vt:lpstr>
      <vt:lpstr>LongShortPivot</vt:lpstr>
      <vt:lpstr>XRef</vt:lpstr>
      <vt:lpstr>BranchXRef</vt:lpstr>
      <vt:lpstr>AGTRAXDATA</vt:lpstr>
      <vt:lpstr>SALESCONTRACTS</vt:lpstr>
      <vt:lpstr>AGTRAXDATA!position</vt:lpstr>
      <vt:lpstr>SALESCONTRACTS!Query_from_moundridge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Studebaker</dc:creator>
  <cp:lastModifiedBy>Mandie Lyons</cp:lastModifiedBy>
  <cp:lastPrinted>2017-01-04T21:39:31Z</cp:lastPrinted>
  <dcterms:created xsi:type="dcterms:W3CDTF">1997-07-18T13:31:51Z</dcterms:created>
  <dcterms:modified xsi:type="dcterms:W3CDTF">2017-03-06T22:25:18Z</dcterms:modified>
</cp:coreProperties>
</file>