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etpub\wwwroot\MKCoop\UploadedFiles\"/>
    </mc:Choice>
  </mc:AlternateContent>
  <bookViews>
    <workbookView xWindow="0" yWindow="0" windowWidth="28800" windowHeight="12204" activeTab="1"/>
  </bookViews>
  <sheets>
    <sheet name="Sheet1" sheetId="1" r:id="rId1"/>
    <sheet name="Sheet5" sheetId="5" r:id="rId2"/>
  </sheets>
  <externalReferences>
    <externalReference r:id="rId3"/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78" i="5" l="1"/>
  <c r="BJ78" i="5"/>
  <c r="BI78" i="5"/>
  <c r="BH78" i="5"/>
  <c r="BG78" i="5"/>
  <c r="BD78" i="5"/>
  <c r="BC78" i="5"/>
  <c r="BB78" i="5"/>
  <c r="BA78" i="5"/>
  <c r="AX78" i="5"/>
  <c r="AW78" i="5"/>
  <c r="AV78" i="5"/>
  <c r="AU78" i="5"/>
  <c r="AT78" i="5"/>
  <c r="AS78" i="5"/>
  <c r="AR78" i="5"/>
  <c r="AN78" i="5"/>
  <c r="AM78" i="5"/>
  <c r="AK78" i="5"/>
  <c r="AJ78" i="5"/>
  <c r="AI78" i="5"/>
  <c r="AH78" i="5"/>
  <c r="AC78" i="5"/>
  <c r="AB78" i="5"/>
  <c r="AA78" i="5"/>
  <c r="W78" i="5"/>
  <c r="V78" i="5"/>
  <c r="U78" i="5"/>
  <c r="T78" i="5"/>
  <c r="S78" i="5"/>
  <c r="R78" i="5"/>
  <c r="I78" i="5"/>
  <c r="K77" i="5"/>
  <c r="P77" i="5"/>
  <c r="G75" i="5"/>
  <c r="D74" i="5"/>
  <c r="Q73" i="5"/>
  <c r="M73" i="5"/>
  <c r="F73" i="5"/>
  <c r="O72" i="5"/>
  <c r="H72" i="5"/>
  <c r="D72" i="5"/>
  <c r="Q71" i="5"/>
  <c r="M71" i="5"/>
  <c r="F71" i="5"/>
  <c r="O70" i="5"/>
  <c r="H70" i="5"/>
  <c r="D70" i="5"/>
  <c r="Q69" i="5"/>
  <c r="M69" i="5"/>
  <c r="F69" i="5"/>
  <c r="O68" i="5"/>
  <c r="H68" i="5"/>
  <c r="D68" i="5"/>
  <c r="Q67" i="5"/>
  <c r="M67" i="5"/>
  <c r="F67" i="5"/>
  <c r="O66" i="5"/>
  <c r="H66" i="5"/>
  <c r="D66" i="5"/>
  <c r="Q65" i="5"/>
  <c r="M65" i="5"/>
  <c r="F65" i="5"/>
  <c r="O64" i="5"/>
  <c r="H64" i="5"/>
  <c r="D64" i="5"/>
  <c r="Q63" i="5"/>
  <c r="M63" i="5"/>
  <c r="F63" i="5"/>
  <c r="O62" i="5"/>
  <c r="H62" i="5"/>
  <c r="D62" i="5"/>
  <c r="Q61" i="5"/>
  <c r="M61" i="5"/>
  <c r="F61" i="5"/>
  <c r="O60" i="5"/>
  <c r="H60" i="5"/>
  <c r="D60" i="5"/>
  <c r="Q59" i="5"/>
  <c r="M59" i="5"/>
  <c r="F59" i="5"/>
  <c r="O58" i="5"/>
  <c r="H58" i="5"/>
  <c r="D58" i="5"/>
  <c r="Q57" i="5"/>
  <c r="M57" i="5"/>
  <c r="F57" i="5"/>
  <c r="O56" i="5"/>
  <c r="O77" i="5"/>
  <c r="D76" i="5"/>
  <c r="M75" i="5"/>
  <c r="F75" i="5"/>
  <c r="P73" i="5"/>
  <c r="E73" i="5"/>
  <c r="N72" i="5"/>
  <c r="G72" i="5"/>
  <c r="P71" i="5"/>
  <c r="E71" i="5"/>
  <c r="N70" i="5"/>
  <c r="G70" i="5"/>
  <c r="P69" i="5"/>
  <c r="E69" i="5"/>
  <c r="N68" i="5"/>
  <c r="G68" i="5"/>
  <c r="P67" i="5"/>
  <c r="E67" i="5"/>
  <c r="N66" i="5"/>
  <c r="G66" i="5"/>
  <c r="P65" i="5"/>
  <c r="E65" i="5"/>
  <c r="N64" i="5"/>
  <c r="G64" i="5"/>
  <c r="P63" i="5"/>
  <c r="E63" i="5"/>
  <c r="N62" i="5"/>
  <c r="G62" i="5"/>
  <c r="P61" i="5"/>
  <c r="E61" i="5"/>
  <c r="N60" i="5"/>
  <c r="G60" i="5"/>
  <c r="P59" i="5"/>
  <c r="E59" i="5"/>
  <c r="N58" i="5"/>
  <c r="G58" i="5"/>
  <c r="P57" i="5"/>
  <c r="E57" i="5"/>
  <c r="N56" i="5"/>
  <c r="G56" i="5"/>
  <c r="P55" i="5"/>
  <c r="N77" i="5"/>
  <c r="E75" i="5"/>
  <c r="O73" i="5"/>
  <c r="H73" i="5"/>
  <c r="D73" i="5"/>
  <c r="Q72" i="5"/>
  <c r="M72" i="5"/>
  <c r="F72" i="5"/>
  <c r="O71" i="5"/>
  <c r="H71" i="5"/>
  <c r="D71" i="5"/>
  <c r="Q70" i="5"/>
  <c r="M70" i="5"/>
  <c r="F70" i="5"/>
  <c r="O69" i="5"/>
  <c r="H69" i="5"/>
  <c r="D69" i="5"/>
  <c r="Q68" i="5"/>
  <c r="M68" i="5"/>
  <c r="F68" i="5"/>
  <c r="O67" i="5"/>
  <c r="H67" i="5"/>
  <c r="D67" i="5"/>
  <c r="Q66" i="5"/>
  <c r="M66" i="5"/>
  <c r="F66" i="5"/>
  <c r="O65" i="5"/>
  <c r="H65" i="5"/>
  <c r="D65" i="5"/>
  <c r="Q64" i="5"/>
  <c r="M64" i="5"/>
  <c r="F64" i="5"/>
  <c r="O63" i="5"/>
  <c r="H63" i="5"/>
  <c r="D63" i="5"/>
  <c r="Q62" i="5"/>
  <c r="M62" i="5"/>
  <c r="F62" i="5"/>
  <c r="O61" i="5"/>
  <c r="H61" i="5"/>
  <c r="D61" i="5"/>
  <c r="Q60" i="5"/>
  <c r="M60" i="5"/>
  <c r="F60" i="5"/>
  <c r="O59" i="5"/>
  <c r="H59" i="5"/>
  <c r="D59" i="5"/>
  <c r="Q58" i="5"/>
  <c r="M58" i="5"/>
  <c r="F58" i="5"/>
  <c r="O57" i="5"/>
  <c r="H57" i="5"/>
  <c r="D57" i="5"/>
  <c r="Q56" i="5"/>
  <c r="M56" i="5"/>
  <c r="F56" i="5"/>
  <c r="O55" i="5"/>
  <c r="H55" i="5"/>
  <c r="H75" i="5"/>
  <c r="E72" i="5"/>
  <c r="G71" i="5"/>
  <c r="N69" i="5"/>
  <c r="P68" i="5"/>
  <c r="E64" i="5"/>
  <c r="G63" i="5"/>
  <c r="N61" i="5"/>
  <c r="P60" i="5"/>
  <c r="H56" i="5"/>
  <c r="M55" i="5"/>
  <c r="D55" i="5"/>
  <c r="Q54" i="5"/>
  <c r="M54" i="5"/>
  <c r="F54" i="5"/>
  <c r="O53" i="5"/>
  <c r="H53" i="5"/>
  <c r="D53" i="5"/>
  <c r="Q52" i="5"/>
  <c r="M52" i="5"/>
  <c r="F52" i="5"/>
  <c r="O51" i="5"/>
  <c r="H51" i="5"/>
  <c r="D51" i="5"/>
  <c r="Q50" i="5"/>
  <c r="M50" i="5"/>
  <c r="F50" i="5"/>
  <c r="O49" i="5"/>
  <c r="H49" i="5"/>
  <c r="D49" i="5"/>
  <c r="Q48" i="5"/>
  <c r="M48" i="5"/>
  <c r="F48" i="5"/>
  <c r="O47" i="5"/>
  <c r="H47" i="5"/>
  <c r="D47" i="5"/>
  <c r="Q46" i="5"/>
  <c r="M46" i="5"/>
  <c r="F46" i="5"/>
  <c r="O45" i="5"/>
  <c r="H45" i="5"/>
  <c r="D45" i="5"/>
  <c r="Q44" i="5"/>
  <c r="M44" i="5"/>
  <c r="F44" i="5"/>
  <c r="O43" i="5"/>
  <c r="H43" i="5"/>
  <c r="D43" i="5"/>
  <c r="Q42" i="5"/>
  <c r="M42" i="5"/>
  <c r="F42" i="5"/>
  <c r="O41" i="5"/>
  <c r="H41" i="5"/>
  <c r="D41" i="5"/>
  <c r="Q40" i="5"/>
  <c r="M40" i="5"/>
  <c r="F40" i="5"/>
  <c r="O39" i="5"/>
  <c r="H39" i="5"/>
  <c r="D39" i="5"/>
  <c r="Q38" i="5"/>
  <c r="M38" i="5"/>
  <c r="F38" i="5"/>
  <c r="Q77" i="5"/>
  <c r="D75" i="5"/>
  <c r="E70" i="5"/>
  <c r="G69" i="5"/>
  <c r="N67" i="5"/>
  <c r="P66" i="5"/>
  <c r="E62" i="5"/>
  <c r="G61" i="5"/>
  <c r="N59" i="5"/>
  <c r="P58" i="5"/>
  <c r="E56" i="5"/>
  <c r="G55" i="5"/>
  <c r="P54" i="5"/>
  <c r="E54" i="5"/>
  <c r="N53" i="5"/>
  <c r="G53" i="5"/>
  <c r="P52" i="5"/>
  <c r="E52" i="5"/>
  <c r="N51" i="5"/>
  <c r="G51" i="5"/>
  <c r="P50" i="5"/>
  <c r="E50" i="5"/>
  <c r="N49" i="5"/>
  <c r="G49" i="5"/>
  <c r="P48" i="5"/>
  <c r="E48" i="5"/>
  <c r="N47" i="5"/>
  <c r="G47" i="5"/>
  <c r="P46" i="5"/>
  <c r="E46" i="5"/>
  <c r="N45" i="5"/>
  <c r="G45" i="5"/>
  <c r="P44" i="5"/>
  <c r="E44" i="5"/>
  <c r="N43" i="5"/>
  <c r="G43" i="5"/>
  <c r="P42" i="5"/>
  <c r="E42" i="5"/>
  <c r="N41" i="5"/>
  <c r="G41" i="5"/>
  <c r="P40" i="5"/>
  <c r="E40" i="5"/>
  <c r="N39" i="5"/>
  <c r="G39" i="5"/>
  <c r="P38" i="5"/>
  <c r="E38" i="5"/>
  <c r="N37" i="5"/>
  <c r="G37" i="5"/>
  <c r="M77" i="5"/>
  <c r="N73" i="5"/>
  <c r="P72" i="5"/>
  <c r="E68" i="5"/>
  <c r="G67" i="5"/>
  <c r="N65" i="5"/>
  <c r="P64" i="5"/>
  <c r="E60" i="5"/>
  <c r="G59" i="5"/>
  <c r="N57" i="5"/>
  <c r="P56" i="5"/>
  <c r="D56" i="5"/>
  <c r="Q55" i="5"/>
  <c r="F55" i="5"/>
  <c r="O54" i="5"/>
  <c r="H54" i="5"/>
  <c r="D54" i="5"/>
  <c r="Q53" i="5"/>
  <c r="M53" i="5"/>
  <c r="F53" i="5"/>
  <c r="O52" i="5"/>
  <c r="H52" i="5"/>
  <c r="D52" i="5"/>
  <c r="Q51" i="5"/>
  <c r="M51" i="5"/>
  <c r="F51" i="5"/>
  <c r="O50" i="5"/>
  <c r="H50" i="5"/>
  <c r="D50" i="5"/>
  <c r="Q49" i="5"/>
  <c r="M49" i="5"/>
  <c r="F49" i="5"/>
  <c r="O48" i="5"/>
  <c r="H48" i="5"/>
  <c r="D48" i="5"/>
  <c r="Q47" i="5"/>
  <c r="M47" i="5"/>
  <c r="F47" i="5"/>
  <c r="O46" i="5"/>
  <c r="H46" i="5"/>
  <c r="D46" i="5"/>
  <c r="Q45" i="5"/>
  <c r="M45" i="5"/>
  <c r="F45" i="5"/>
  <c r="O44" i="5"/>
  <c r="H44" i="5"/>
  <c r="D44" i="5"/>
  <c r="Q43" i="5"/>
  <c r="M43" i="5"/>
  <c r="F43" i="5"/>
  <c r="O42" i="5"/>
  <c r="H42" i="5"/>
  <c r="D42" i="5"/>
  <c r="Q41" i="5"/>
  <c r="M41" i="5"/>
  <c r="F41" i="5"/>
  <c r="O40" i="5"/>
  <c r="H40" i="5"/>
  <c r="D40" i="5"/>
  <c r="Q39" i="5"/>
  <c r="M39" i="5"/>
  <c r="F39" i="5"/>
  <c r="O38" i="5"/>
  <c r="H38" i="5"/>
  <c r="D38" i="5"/>
  <c r="Q37" i="5"/>
  <c r="M37" i="5"/>
  <c r="G73" i="5"/>
  <c r="E66" i="5"/>
  <c r="P62" i="5"/>
  <c r="E51" i="5"/>
  <c r="G50" i="5"/>
  <c r="N48" i="5"/>
  <c r="P47" i="5"/>
  <c r="E43" i="5"/>
  <c r="G42" i="5"/>
  <c r="N40" i="5"/>
  <c r="P39" i="5"/>
  <c r="D37" i="5"/>
  <c r="Q36" i="5"/>
  <c r="M36" i="5"/>
  <c r="F36" i="5"/>
  <c r="G35" i="5"/>
  <c r="O34" i="5"/>
  <c r="H34" i="5"/>
  <c r="D34" i="5"/>
  <c r="Q33" i="5"/>
  <c r="M33" i="5"/>
  <c r="F33" i="5"/>
  <c r="O32" i="5"/>
  <c r="H32" i="5"/>
  <c r="D32" i="5"/>
  <c r="Q31" i="5"/>
  <c r="M31" i="5"/>
  <c r="F31" i="5"/>
  <c r="O30" i="5"/>
  <c r="H30" i="5"/>
  <c r="D30" i="5"/>
  <c r="Q29" i="5"/>
  <c r="M29" i="5"/>
  <c r="F29" i="5"/>
  <c r="O28" i="5"/>
  <c r="H28" i="5"/>
  <c r="D28" i="5"/>
  <c r="Q27" i="5"/>
  <c r="M27" i="5"/>
  <c r="F27" i="5"/>
  <c r="O26" i="5"/>
  <c r="H26" i="5"/>
  <c r="D26" i="5"/>
  <c r="Q25" i="5"/>
  <c r="M25" i="5"/>
  <c r="F25" i="5"/>
  <c r="O24" i="5"/>
  <c r="H24" i="5"/>
  <c r="D24" i="5"/>
  <c r="Q23" i="5"/>
  <c r="M23" i="5"/>
  <c r="F23" i="5"/>
  <c r="O22" i="5"/>
  <c r="H22" i="5"/>
  <c r="D22" i="5"/>
  <c r="Q21" i="5"/>
  <c r="M21" i="5"/>
  <c r="F21" i="5"/>
  <c r="O20" i="5"/>
  <c r="H20" i="5"/>
  <c r="D20" i="5"/>
  <c r="G65" i="5"/>
  <c r="E58" i="5"/>
  <c r="N55" i="5"/>
  <c r="N54" i="5"/>
  <c r="P53" i="5"/>
  <c r="E49" i="5"/>
  <c r="G48" i="5"/>
  <c r="N46" i="5"/>
  <c r="P45" i="5"/>
  <c r="E41" i="5"/>
  <c r="G40" i="5"/>
  <c r="N38" i="5"/>
  <c r="H37" i="5"/>
  <c r="P36" i="5"/>
  <c r="E36" i="5"/>
  <c r="F35" i="5"/>
  <c r="N34" i="5"/>
  <c r="G34" i="5"/>
  <c r="P33" i="5"/>
  <c r="E33" i="5"/>
  <c r="N32" i="5"/>
  <c r="G32" i="5"/>
  <c r="P31" i="5"/>
  <c r="E31" i="5"/>
  <c r="N30" i="5"/>
  <c r="G30" i="5"/>
  <c r="P29" i="5"/>
  <c r="E29" i="5"/>
  <c r="N28" i="5"/>
  <c r="G28" i="5"/>
  <c r="P27" i="5"/>
  <c r="E27" i="5"/>
  <c r="N26" i="5"/>
  <c r="G26" i="5"/>
  <c r="P25" i="5"/>
  <c r="E25" i="5"/>
  <c r="N24" i="5"/>
  <c r="G24" i="5"/>
  <c r="P23" i="5"/>
  <c r="E23" i="5"/>
  <c r="N22" i="5"/>
  <c r="G22" i="5"/>
  <c r="P21" i="5"/>
  <c r="E21" i="5"/>
  <c r="N20" i="5"/>
  <c r="G20" i="5"/>
  <c r="P19" i="5"/>
  <c r="E19" i="5"/>
  <c r="N18" i="5"/>
  <c r="G18" i="5"/>
  <c r="N71" i="5"/>
  <c r="G57" i="5"/>
  <c r="E55" i="5"/>
  <c r="G54" i="5"/>
  <c r="N52" i="5"/>
  <c r="P51" i="5"/>
  <c r="E47" i="5"/>
  <c r="G46" i="5"/>
  <c r="N44" i="5"/>
  <c r="P43" i="5"/>
  <c r="E39" i="5"/>
  <c r="G38" i="5"/>
  <c r="P37" i="5"/>
  <c r="F37" i="5"/>
  <c r="O36" i="5"/>
  <c r="H36" i="5"/>
  <c r="D36" i="5"/>
  <c r="E35" i="5"/>
  <c r="M34" i="5"/>
  <c r="F34" i="5"/>
  <c r="O33" i="5"/>
  <c r="H33" i="5"/>
  <c r="D33" i="5"/>
  <c r="Q32" i="5"/>
  <c r="M32" i="5"/>
  <c r="F32" i="5"/>
  <c r="O31" i="5"/>
  <c r="H31" i="5"/>
  <c r="D31" i="5"/>
  <c r="Q30" i="5"/>
  <c r="M30" i="5"/>
  <c r="F30" i="5"/>
  <c r="O29" i="5"/>
  <c r="H29" i="5"/>
  <c r="D29" i="5"/>
  <c r="Q28" i="5"/>
  <c r="M28" i="5"/>
  <c r="F28" i="5"/>
  <c r="O27" i="5"/>
  <c r="H27" i="5"/>
  <c r="D27" i="5"/>
  <c r="Q26" i="5"/>
  <c r="M26" i="5"/>
  <c r="F26" i="5"/>
  <c r="O25" i="5"/>
  <c r="H25" i="5"/>
  <c r="D25" i="5"/>
  <c r="Q24" i="5"/>
  <c r="M24" i="5"/>
  <c r="F24" i="5"/>
  <c r="O23" i="5"/>
  <c r="H23" i="5"/>
  <c r="D23" i="5"/>
  <c r="Q22" i="5"/>
  <c r="M22" i="5"/>
  <c r="F22" i="5"/>
  <c r="O21" i="5"/>
  <c r="H21" i="5"/>
  <c r="D21" i="5"/>
  <c r="Q20" i="5"/>
  <c r="M20" i="5"/>
  <c r="F20" i="5"/>
  <c r="O19" i="5"/>
  <c r="H19" i="5"/>
  <c r="D19" i="5"/>
  <c r="Q18" i="5"/>
  <c r="M18" i="5"/>
  <c r="F18" i="5"/>
  <c r="O17" i="5"/>
  <c r="H17" i="5"/>
  <c r="D17" i="5"/>
  <c r="Q16" i="5"/>
  <c r="M16" i="5"/>
  <c r="N63" i="5"/>
  <c r="N50" i="5"/>
  <c r="E37" i="5"/>
  <c r="G36" i="5"/>
  <c r="D35" i="5"/>
  <c r="E34" i="5"/>
  <c r="G33" i="5"/>
  <c r="N31" i="5"/>
  <c r="P30" i="5"/>
  <c r="E26" i="5"/>
  <c r="G25" i="5"/>
  <c r="N23" i="5"/>
  <c r="P22" i="5"/>
  <c r="M19" i="5"/>
  <c r="O18" i="5"/>
  <c r="D18" i="5"/>
  <c r="Q17" i="5"/>
  <c r="N16" i="5"/>
  <c r="F16" i="5"/>
  <c r="O15" i="5"/>
  <c r="H15" i="5"/>
  <c r="D15" i="5"/>
  <c r="Q14" i="5"/>
  <c r="M14" i="5"/>
  <c r="F14" i="5"/>
  <c r="O13" i="5"/>
  <c r="H13" i="5"/>
  <c r="D13" i="5"/>
  <c r="E12" i="5"/>
  <c r="N11" i="5"/>
  <c r="G11" i="5"/>
  <c r="P10" i="5"/>
  <c r="E10" i="5"/>
  <c r="N9" i="5"/>
  <c r="G9" i="5"/>
  <c r="P8" i="5"/>
  <c r="E8" i="5"/>
  <c r="N7" i="5"/>
  <c r="G7" i="5"/>
  <c r="P6" i="5"/>
  <c r="E6" i="5"/>
  <c r="N5" i="5"/>
  <c r="G5" i="5"/>
  <c r="P4" i="5"/>
  <c r="E4" i="5"/>
  <c r="N3" i="5"/>
  <c r="G3" i="5"/>
  <c r="P2" i="5"/>
  <c r="E2" i="5"/>
  <c r="M3" i="5"/>
  <c r="H2" i="5"/>
  <c r="D2" i="5"/>
  <c r="O37" i="5"/>
  <c r="H35" i="5"/>
  <c r="P32" i="5"/>
  <c r="G27" i="5"/>
  <c r="E20" i="5"/>
  <c r="P18" i="5"/>
  <c r="E17" i="5"/>
  <c r="G16" i="5"/>
  <c r="P15" i="5"/>
  <c r="G14" i="5"/>
  <c r="P13" i="5"/>
  <c r="O11" i="5"/>
  <c r="Q10" i="5"/>
  <c r="H9" i="5"/>
  <c r="Q8" i="5"/>
  <c r="O7" i="5"/>
  <c r="F6" i="5"/>
  <c r="O5" i="5"/>
  <c r="M4" i="5"/>
  <c r="D3" i="5"/>
  <c r="M2" i="5"/>
  <c r="E53" i="5"/>
  <c r="P49" i="5"/>
  <c r="N42" i="5"/>
  <c r="E32" i="5"/>
  <c r="G31" i="5"/>
  <c r="N29" i="5"/>
  <c r="P28" i="5"/>
  <c r="E24" i="5"/>
  <c r="G23" i="5"/>
  <c r="N21" i="5"/>
  <c r="P20" i="5"/>
  <c r="G19" i="5"/>
  <c r="P17" i="5"/>
  <c r="G17" i="5"/>
  <c r="E16" i="5"/>
  <c r="N15" i="5"/>
  <c r="G15" i="5"/>
  <c r="P14" i="5"/>
  <c r="E14" i="5"/>
  <c r="N13" i="5"/>
  <c r="G13" i="5"/>
  <c r="H12" i="5"/>
  <c r="D12" i="5"/>
  <c r="Q11" i="5"/>
  <c r="M11" i="5"/>
  <c r="F11" i="5"/>
  <c r="O10" i="5"/>
  <c r="H10" i="5"/>
  <c r="D10" i="5"/>
  <c r="Q9" i="5"/>
  <c r="M9" i="5"/>
  <c r="F9" i="5"/>
  <c r="O8" i="5"/>
  <c r="H8" i="5"/>
  <c r="D8" i="5"/>
  <c r="Q7" i="5"/>
  <c r="M7" i="5"/>
  <c r="F7" i="5"/>
  <c r="O6" i="5"/>
  <c r="H6" i="5"/>
  <c r="D6" i="5"/>
  <c r="Q5" i="5"/>
  <c r="M5" i="5"/>
  <c r="F5" i="5"/>
  <c r="O4" i="5"/>
  <c r="H4" i="5"/>
  <c r="D4" i="5"/>
  <c r="Q3" i="5"/>
  <c r="F3" i="5"/>
  <c r="O2" i="5"/>
  <c r="N33" i="5"/>
  <c r="N25" i="5"/>
  <c r="N19" i="5"/>
  <c r="D11" i="5"/>
  <c r="M10" i="5"/>
  <c r="D9" i="5"/>
  <c r="F8" i="5"/>
  <c r="H7" i="5"/>
  <c r="M6" i="5"/>
  <c r="D5" i="5"/>
  <c r="F4" i="5"/>
  <c r="O3" i="5"/>
  <c r="Q2" i="5"/>
  <c r="P70" i="5"/>
  <c r="G52" i="5"/>
  <c r="E45" i="5"/>
  <c r="P41" i="5"/>
  <c r="P34" i="5"/>
  <c r="E30" i="5"/>
  <c r="G29" i="5"/>
  <c r="N27" i="5"/>
  <c r="P26" i="5"/>
  <c r="E22" i="5"/>
  <c r="G21" i="5"/>
  <c r="Q19" i="5"/>
  <c r="F19" i="5"/>
  <c r="H18" i="5"/>
  <c r="N17" i="5"/>
  <c r="F17" i="5"/>
  <c r="P16" i="5"/>
  <c r="H16" i="5"/>
  <c r="D16" i="5"/>
  <c r="Q15" i="5"/>
  <c r="M15" i="5"/>
  <c r="F15" i="5"/>
  <c r="O14" i="5"/>
  <c r="H14" i="5"/>
  <c r="D14" i="5"/>
  <c r="Q13" i="5"/>
  <c r="M13" i="5"/>
  <c r="F13" i="5"/>
  <c r="G12" i="5"/>
  <c r="P11" i="5"/>
  <c r="E11" i="5"/>
  <c r="N10" i="5"/>
  <c r="G10" i="5"/>
  <c r="P9" i="5"/>
  <c r="E9" i="5"/>
  <c r="N8" i="5"/>
  <c r="G8" i="5"/>
  <c r="P7" i="5"/>
  <c r="E7" i="5"/>
  <c r="N6" i="5"/>
  <c r="G6" i="5"/>
  <c r="P5" i="5"/>
  <c r="E5" i="5"/>
  <c r="N4" i="5"/>
  <c r="G4" i="5"/>
  <c r="P3" i="5"/>
  <c r="E3" i="5"/>
  <c r="N2" i="5"/>
  <c r="G2" i="5"/>
  <c r="G44" i="5"/>
  <c r="N36" i="5"/>
  <c r="E28" i="5"/>
  <c r="P24" i="5"/>
  <c r="E18" i="5"/>
  <c r="M17" i="5"/>
  <c r="O16" i="5"/>
  <c r="E15" i="5"/>
  <c r="N14" i="5"/>
  <c r="E13" i="5"/>
  <c r="F12" i="5"/>
  <c r="H11" i="5"/>
  <c r="F10" i="5"/>
  <c r="O9" i="5"/>
  <c r="M8" i="5"/>
  <c r="D7" i="5"/>
  <c r="Q6" i="5"/>
  <c r="H5" i="5"/>
  <c r="Q4" i="5"/>
  <c r="H3" i="5"/>
  <c r="F2" i="5"/>
  <c r="B2" i="1"/>
  <c r="B6" i="1"/>
  <c r="B13" i="1"/>
  <c r="B3" i="1"/>
  <c r="B14" i="1"/>
  <c r="B4" i="1"/>
  <c r="B11" i="1"/>
  <c r="B15" i="1"/>
  <c r="B5" i="1"/>
  <c r="B12" i="1"/>
  <c r="F78" i="5" l="1"/>
  <c r="K7" i="5"/>
  <c r="G78" i="5"/>
  <c r="N78" i="5"/>
  <c r="K14" i="5"/>
  <c r="K16" i="5"/>
  <c r="Q78" i="5"/>
  <c r="K5" i="5"/>
  <c r="K9" i="5"/>
  <c r="K11" i="5"/>
  <c r="O78" i="5"/>
  <c r="K4" i="5"/>
  <c r="K6" i="5"/>
  <c r="K8" i="5"/>
  <c r="K10" i="5"/>
  <c r="K12" i="5"/>
  <c r="M78" i="5"/>
  <c r="K3" i="5"/>
  <c r="D78" i="5"/>
  <c r="K2" i="5"/>
  <c r="H78" i="5"/>
  <c r="E78" i="5"/>
  <c r="P78" i="5"/>
  <c r="K13" i="5"/>
  <c r="K15" i="5"/>
  <c r="K18" i="5"/>
  <c r="K35" i="5"/>
  <c r="K17" i="5"/>
  <c r="K19" i="5"/>
  <c r="K21" i="5"/>
  <c r="K23" i="5"/>
  <c r="K25" i="5"/>
  <c r="K27" i="5"/>
  <c r="K29" i="5"/>
  <c r="K31" i="5"/>
  <c r="K33" i="5"/>
  <c r="K36" i="5"/>
  <c r="K20" i="5"/>
  <c r="K22" i="5"/>
  <c r="K24" i="5"/>
  <c r="K26" i="5"/>
  <c r="K28" i="5"/>
  <c r="K30" i="5"/>
  <c r="K32" i="5"/>
  <c r="K34" i="5"/>
  <c r="K37" i="5"/>
  <c r="K38" i="5"/>
  <c r="K40" i="5"/>
  <c r="K42" i="5"/>
  <c r="K44" i="5"/>
  <c r="K46" i="5"/>
  <c r="K48" i="5"/>
  <c r="K50" i="5"/>
  <c r="K52" i="5"/>
  <c r="K54" i="5"/>
  <c r="K56" i="5"/>
  <c r="K75" i="5"/>
  <c r="K39" i="5"/>
  <c r="K41" i="5"/>
  <c r="K43" i="5"/>
  <c r="K45" i="5"/>
  <c r="K47" i="5"/>
  <c r="K49" i="5"/>
  <c r="K51" i="5"/>
  <c r="K53" i="5"/>
  <c r="K55" i="5"/>
  <c r="K57" i="5"/>
  <c r="K59" i="5"/>
  <c r="K61" i="5"/>
  <c r="K63" i="5"/>
  <c r="K65" i="5"/>
  <c r="K67" i="5"/>
  <c r="K69" i="5"/>
  <c r="K71" i="5"/>
  <c r="K73" i="5"/>
  <c r="K76" i="5"/>
  <c r="K58" i="5"/>
  <c r="K60" i="5"/>
  <c r="K62" i="5"/>
  <c r="K64" i="5"/>
  <c r="K66" i="5"/>
  <c r="K68" i="5"/>
  <c r="K70" i="5"/>
  <c r="K72" i="5"/>
  <c r="K74" i="5"/>
  <c r="Y77" i="5"/>
  <c r="AF77" i="5" s="1"/>
  <c r="AP77" i="5" s="1"/>
  <c r="AZ77" i="5" s="1"/>
  <c r="BF77" i="5" s="1"/>
  <c r="BM77" i="5" s="1"/>
  <c r="B9" i="1"/>
  <c r="K78" i="5" l="1"/>
  <c r="AD72" i="5"/>
  <c r="Y72" i="5"/>
  <c r="AF72" i="5" s="1"/>
  <c r="AP72" i="5" s="1"/>
  <c r="AZ72" i="5" s="1"/>
  <c r="BF72" i="5" s="1"/>
  <c r="BM72" i="5" s="1"/>
  <c r="AD64" i="5"/>
  <c r="Y64" i="5"/>
  <c r="AF64" i="5" s="1"/>
  <c r="AP64" i="5" s="1"/>
  <c r="AZ64" i="5" s="1"/>
  <c r="BF64" i="5" s="1"/>
  <c r="BM64" i="5" s="1"/>
  <c r="AD76" i="5"/>
  <c r="Y76" i="5"/>
  <c r="AF76" i="5" s="1"/>
  <c r="AP76" i="5" s="1"/>
  <c r="AZ76" i="5" s="1"/>
  <c r="BF76" i="5" s="1"/>
  <c r="BM76" i="5" s="1"/>
  <c r="AD67" i="5"/>
  <c r="Y67" i="5"/>
  <c r="AF67" i="5" s="1"/>
  <c r="AP67" i="5" s="1"/>
  <c r="AZ67" i="5" s="1"/>
  <c r="BF67" i="5" s="1"/>
  <c r="BM67" i="5" s="1"/>
  <c r="AD59" i="5"/>
  <c r="Y59" i="5"/>
  <c r="AF59" i="5" s="1"/>
  <c r="AP59" i="5" s="1"/>
  <c r="AZ59" i="5" s="1"/>
  <c r="BF59" i="5" s="1"/>
  <c r="BM59" i="5" s="1"/>
  <c r="AD51" i="5"/>
  <c r="Y51" i="5"/>
  <c r="AF51" i="5" s="1"/>
  <c r="AP51" i="5" s="1"/>
  <c r="AZ51" i="5" s="1"/>
  <c r="BF51" i="5" s="1"/>
  <c r="BM51" i="5" s="1"/>
  <c r="AD43" i="5"/>
  <c r="Y43" i="5"/>
  <c r="AF43" i="5" s="1"/>
  <c r="AP43" i="5" s="1"/>
  <c r="AZ43" i="5" s="1"/>
  <c r="BF43" i="5" s="1"/>
  <c r="BM43" i="5" s="1"/>
  <c r="AD56" i="5"/>
  <c r="Y56" i="5"/>
  <c r="AF56" i="5" s="1"/>
  <c r="AP56" i="5" s="1"/>
  <c r="AZ56" i="5" s="1"/>
  <c r="BF56" i="5" s="1"/>
  <c r="BM56" i="5" s="1"/>
  <c r="AD48" i="5"/>
  <c r="Y48" i="5"/>
  <c r="AF48" i="5" s="1"/>
  <c r="AP48" i="5" s="1"/>
  <c r="AZ48" i="5" s="1"/>
  <c r="BF48" i="5" s="1"/>
  <c r="BM48" i="5" s="1"/>
  <c r="AD40" i="5"/>
  <c r="Y40" i="5"/>
  <c r="AF40" i="5" s="1"/>
  <c r="AP40" i="5" s="1"/>
  <c r="AZ40" i="5" s="1"/>
  <c r="BF40" i="5" s="1"/>
  <c r="BM40" i="5" s="1"/>
  <c r="AD32" i="5"/>
  <c r="Y32" i="5"/>
  <c r="AF32" i="5" s="1"/>
  <c r="AP32" i="5" s="1"/>
  <c r="AZ32" i="5" s="1"/>
  <c r="BF32" i="5" s="1"/>
  <c r="BM32" i="5" s="1"/>
  <c r="AD24" i="5"/>
  <c r="Y24" i="5"/>
  <c r="AF24" i="5" s="1"/>
  <c r="AP24" i="5" s="1"/>
  <c r="AZ24" i="5" s="1"/>
  <c r="BF24" i="5" s="1"/>
  <c r="BM24" i="5" s="1"/>
  <c r="AD33" i="5"/>
  <c r="Y33" i="5"/>
  <c r="AF33" i="5" s="1"/>
  <c r="AP33" i="5" s="1"/>
  <c r="AZ33" i="5" s="1"/>
  <c r="BF33" i="5" s="1"/>
  <c r="BM33" i="5" s="1"/>
  <c r="AD25" i="5"/>
  <c r="Y25" i="5"/>
  <c r="AF25" i="5" s="1"/>
  <c r="AP25" i="5" s="1"/>
  <c r="AZ25" i="5" s="1"/>
  <c r="BF25" i="5" s="1"/>
  <c r="BM25" i="5" s="1"/>
  <c r="AD17" i="5"/>
  <c r="Y17" i="5"/>
  <c r="AF17" i="5" s="1"/>
  <c r="AP17" i="5" s="1"/>
  <c r="AZ17" i="5" s="1"/>
  <c r="BF17" i="5" s="1"/>
  <c r="BM17" i="5" s="1"/>
  <c r="AD13" i="5"/>
  <c r="Y13" i="5"/>
  <c r="AF13" i="5" s="1"/>
  <c r="AP13" i="5" s="1"/>
  <c r="AZ13" i="5" s="1"/>
  <c r="BF13" i="5" s="1"/>
  <c r="BM13" i="5" s="1"/>
  <c r="AD2" i="5"/>
  <c r="Y2" i="5"/>
  <c r="AF2" i="5" s="1"/>
  <c r="AP2" i="5" s="1"/>
  <c r="AZ2" i="5" s="1"/>
  <c r="BF2" i="5" s="1"/>
  <c r="BM2" i="5" s="1"/>
  <c r="Y12" i="5"/>
  <c r="AF12" i="5" s="1"/>
  <c r="AP12" i="5" s="1"/>
  <c r="AZ12" i="5" s="1"/>
  <c r="BF12" i="5" s="1"/>
  <c r="BM12" i="5" s="1"/>
  <c r="AD12" i="5"/>
  <c r="AD4" i="5"/>
  <c r="Y4" i="5"/>
  <c r="AF4" i="5" s="1"/>
  <c r="AP4" i="5" s="1"/>
  <c r="AZ4" i="5" s="1"/>
  <c r="BF4" i="5" s="1"/>
  <c r="BM4" i="5" s="1"/>
  <c r="AD62" i="5"/>
  <c r="Y62" i="5"/>
  <c r="AF62" i="5" s="1"/>
  <c r="AP62" i="5" s="1"/>
  <c r="AZ62" i="5" s="1"/>
  <c r="BF62" i="5" s="1"/>
  <c r="BM62" i="5" s="1"/>
  <c r="AD65" i="5"/>
  <c r="Y65" i="5"/>
  <c r="AF65" i="5" s="1"/>
  <c r="AP65" i="5" s="1"/>
  <c r="AZ65" i="5" s="1"/>
  <c r="BF65" i="5" s="1"/>
  <c r="BM65" i="5" s="1"/>
  <c r="AD49" i="5"/>
  <c r="Y49" i="5"/>
  <c r="AF49" i="5" s="1"/>
  <c r="AP49" i="5" s="1"/>
  <c r="AZ49" i="5" s="1"/>
  <c r="BF49" i="5" s="1"/>
  <c r="BM49" i="5" s="1"/>
  <c r="AD41" i="5"/>
  <c r="Y41" i="5"/>
  <c r="AF41" i="5" s="1"/>
  <c r="AP41" i="5" s="1"/>
  <c r="AZ41" i="5" s="1"/>
  <c r="BF41" i="5" s="1"/>
  <c r="BM41" i="5" s="1"/>
  <c r="AD46" i="5"/>
  <c r="Y46" i="5"/>
  <c r="AF46" i="5" s="1"/>
  <c r="AP46" i="5" s="1"/>
  <c r="AZ46" i="5" s="1"/>
  <c r="BF46" i="5" s="1"/>
  <c r="BM46" i="5" s="1"/>
  <c r="AD38" i="5"/>
  <c r="Y38" i="5"/>
  <c r="AF38" i="5" s="1"/>
  <c r="AP38" i="5" s="1"/>
  <c r="AZ38" i="5" s="1"/>
  <c r="BF38" i="5" s="1"/>
  <c r="BM38" i="5" s="1"/>
  <c r="AD30" i="5"/>
  <c r="Y30" i="5"/>
  <c r="AF30" i="5" s="1"/>
  <c r="AP30" i="5" s="1"/>
  <c r="AZ30" i="5" s="1"/>
  <c r="BF30" i="5" s="1"/>
  <c r="BM30" i="5" s="1"/>
  <c r="AD22" i="5"/>
  <c r="Y22" i="5"/>
  <c r="AF22" i="5" s="1"/>
  <c r="AP22" i="5" s="1"/>
  <c r="AZ22" i="5" s="1"/>
  <c r="BF22" i="5" s="1"/>
  <c r="BM22" i="5" s="1"/>
  <c r="AD31" i="5"/>
  <c r="Y31" i="5"/>
  <c r="AF31" i="5" s="1"/>
  <c r="AP31" i="5" s="1"/>
  <c r="AZ31" i="5" s="1"/>
  <c r="BF31" i="5" s="1"/>
  <c r="BM31" i="5" s="1"/>
  <c r="AD23" i="5"/>
  <c r="Y23" i="5"/>
  <c r="AF23" i="5" s="1"/>
  <c r="AP23" i="5" s="1"/>
  <c r="AZ23" i="5" s="1"/>
  <c r="BF23" i="5" s="1"/>
  <c r="BM23" i="5" s="1"/>
  <c r="AD35" i="5"/>
  <c r="Y35" i="5"/>
  <c r="AF35" i="5" s="1"/>
  <c r="AP35" i="5" s="1"/>
  <c r="AZ35" i="5" s="1"/>
  <c r="BF35" i="5" s="1"/>
  <c r="BM35" i="5" s="1"/>
  <c r="Y78" i="5"/>
  <c r="AF78" i="5" s="1"/>
  <c r="AP78" i="5" s="1"/>
  <c r="AD68" i="5"/>
  <c r="Y68" i="5"/>
  <c r="AF68" i="5" s="1"/>
  <c r="AP68" i="5" s="1"/>
  <c r="AZ68" i="5" s="1"/>
  <c r="BF68" i="5" s="1"/>
  <c r="BM68" i="5" s="1"/>
  <c r="AD60" i="5"/>
  <c r="Y60" i="5"/>
  <c r="AF60" i="5" s="1"/>
  <c r="AP60" i="5" s="1"/>
  <c r="AZ60" i="5" s="1"/>
  <c r="BF60" i="5" s="1"/>
  <c r="BM60" i="5" s="1"/>
  <c r="AD71" i="5"/>
  <c r="Y71" i="5"/>
  <c r="AF71" i="5" s="1"/>
  <c r="AP71" i="5" s="1"/>
  <c r="AZ71" i="5" s="1"/>
  <c r="BF71" i="5" s="1"/>
  <c r="BM71" i="5" s="1"/>
  <c r="AD63" i="5"/>
  <c r="Y63" i="5"/>
  <c r="AF63" i="5" s="1"/>
  <c r="AP63" i="5" s="1"/>
  <c r="AZ63" i="5" s="1"/>
  <c r="BF63" i="5" s="1"/>
  <c r="BM63" i="5" s="1"/>
  <c r="AD55" i="5"/>
  <c r="Y55" i="5"/>
  <c r="AF55" i="5" s="1"/>
  <c r="AP55" i="5" s="1"/>
  <c r="AZ55" i="5" s="1"/>
  <c r="BF55" i="5" s="1"/>
  <c r="BM55" i="5" s="1"/>
  <c r="AD47" i="5"/>
  <c r="Y47" i="5"/>
  <c r="AF47" i="5" s="1"/>
  <c r="AP47" i="5" s="1"/>
  <c r="AZ47" i="5" s="1"/>
  <c r="BF47" i="5" s="1"/>
  <c r="BM47" i="5" s="1"/>
  <c r="AD39" i="5"/>
  <c r="Y39" i="5"/>
  <c r="AF39" i="5" s="1"/>
  <c r="AP39" i="5" s="1"/>
  <c r="AZ39" i="5" s="1"/>
  <c r="BF39" i="5" s="1"/>
  <c r="BM39" i="5" s="1"/>
  <c r="AD52" i="5"/>
  <c r="Y52" i="5"/>
  <c r="AF52" i="5" s="1"/>
  <c r="AP52" i="5" s="1"/>
  <c r="AZ52" i="5" s="1"/>
  <c r="BF52" i="5" s="1"/>
  <c r="BM52" i="5" s="1"/>
  <c r="AD44" i="5"/>
  <c r="Y44" i="5"/>
  <c r="AF44" i="5" s="1"/>
  <c r="AP44" i="5" s="1"/>
  <c r="AZ44" i="5" s="1"/>
  <c r="BF44" i="5" s="1"/>
  <c r="BM44" i="5" s="1"/>
  <c r="Y37" i="5"/>
  <c r="AF37" i="5" s="1"/>
  <c r="AP37" i="5" s="1"/>
  <c r="AZ37" i="5" s="1"/>
  <c r="BF37" i="5" s="1"/>
  <c r="BM37" i="5" s="1"/>
  <c r="AD37" i="5"/>
  <c r="AD28" i="5"/>
  <c r="Y28" i="5"/>
  <c r="AF28" i="5" s="1"/>
  <c r="AP28" i="5" s="1"/>
  <c r="AZ28" i="5" s="1"/>
  <c r="BF28" i="5" s="1"/>
  <c r="BM28" i="5" s="1"/>
  <c r="AD20" i="5"/>
  <c r="Y20" i="5"/>
  <c r="AF20" i="5" s="1"/>
  <c r="AP20" i="5" s="1"/>
  <c r="AZ20" i="5" s="1"/>
  <c r="BF20" i="5" s="1"/>
  <c r="BM20" i="5" s="1"/>
  <c r="AD29" i="5"/>
  <c r="Y29" i="5"/>
  <c r="AF29" i="5" s="1"/>
  <c r="AP29" i="5" s="1"/>
  <c r="AZ29" i="5" s="1"/>
  <c r="BF29" i="5" s="1"/>
  <c r="BM29" i="5" s="1"/>
  <c r="AD21" i="5"/>
  <c r="Y21" i="5"/>
  <c r="AF21" i="5" s="1"/>
  <c r="AP21" i="5" s="1"/>
  <c r="AZ21" i="5" s="1"/>
  <c r="BF21" i="5" s="1"/>
  <c r="BM21" i="5" s="1"/>
  <c r="Y18" i="5"/>
  <c r="AF18" i="5" s="1"/>
  <c r="AP18" i="5" s="1"/>
  <c r="AZ18" i="5" s="1"/>
  <c r="BF18" i="5" s="1"/>
  <c r="BM18" i="5" s="1"/>
  <c r="AD18" i="5"/>
  <c r="Y3" i="5"/>
  <c r="AF3" i="5" s="1"/>
  <c r="AP3" i="5" s="1"/>
  <c r="AZ3" i="5" s="1"/>
  <c r="BF3" i="5" s="1"/>
  <c r="BM3" i="5" s="1"/>
  <c r="AD3" i="5"/>
  <c r="AD8" i="5"/>
  <c r="Y8" i="5"/>
  <c r="AF8" i="5" s="1"/>
  <c r="AP8" i="5" s="1"/>
  <c r="AZ8" i="5" s="1"/>
  <c r="BF8" i="5" s="1"/>
  <c r="BM8" i="5" s="1"/>
  <c r="Y11" i="5"/>
  <c r="AF11" i="5" s="1"/>
  <c r="AP11" i="5" s="1"/>
  <c r="AZ11" i="5" s="1"/>
  <c r="BF11" i="5" s="1"/>
  <c r="BM11" i="5" s="1"/>
  <c r="AD11" i="5"/>
  <c r="AD16" i="5"/>
  <c r="Y16" i="5"/>
  <c r="AF16" i="5" s="1"/>
  <c r="AP16" i="5" s="1"/>
  <c r="AZ16" i="5" s="1"/>
  <c r="BF16" i="5" s="1"/>
  <c r="BM16" i="5" s="1"/>
  <c r="Y7" i="5"/>
  <c r="AF7" i="5" s="1"/>
  <c r="AP7" i="5" s="1"/>
  <c r="AZ7" i="5" s="1"/>
  <c r="BF7" i="5" s="1"/>
  <c r="BM7" i="5" s="1"/>
  <c r="AD7" i="5"/>
  <c r="Y5" i="5"/>
  <c r="AF5" i="5" s="1"/>
  <c r="AP5" i="5" s="1"/>
  <c r="AZ5" i="5" s="1"/>
  <c r="BF5" i="5" s="1"/>
  <c r="BM5" i="5" s="1"/>
  <c r="AD5" i="5"/>
  <c r="AD70" i="5"/>
  <c r="Y70" i="5"/>
  <c r="AF70" i="5" s="1"/>
  <c r="AP70" i="5" s="1"/>
  <c r="AZ70" i="5" s="1"/>
  <c r="BF70" i="5" s="1"/>
  <c r="BM70" i="5" s="1"/>
  <c r="AD73" i="5"/>
  <c r="Y73" i="5"/>
  <c r="AF73" i="5" s="1"/>
  <c r="AP73" i="5" s="1"/>
  <c r="AZ73" i="5" s="1"/>
  <c r="BF73" i="5" s="1"/>
  <c r="BM73" i="5" s="1"/>
  <c r="AD57" i="5"/>
  <c r="Y57" i="5"/>
  <c r="AF57" i="5" s="1"/>
  <c r="AP57" i="5" s="1"/>
  <c r="AZ57" i="5" s="1"/>
  <c r="BF57" i="5" s="1"/>
  <c r="BM57" i="5" s="1"/>
  <c r="AD54" i="5"/>
  <c r="Y54" i="5"/>
  <c r="AF54" i="5" s="1"/>
  <c r="AP54" i="5" s="1"/>
  <c r="AZ54" i="5" s="1"/>
  <c r="BF54" i="5" s="1"/>
  <c r="BM54" i="5" s="1"/>
  <c r="AD10" i="5"/>
  <c r="Y10" i="5"/>
  <c r="AF10" i="5" s="1"/>
  <c r="AP10" i="5" s="1"/>
  <c r="AZ10" i="5" s="1"/>
  <c r="BF10" i="5" s="1"/>
  <c r="BM10" i="5" s="1"/>
  <c r="AD74" i="5"/>
  <c r="Y74" i="5"/>
  <c r="AF74" i="5" s="1"/>
  <c r="AP74" i="5" s="1"/>
  <c r="AZ74" i="5" s="1"/>
  <c r="BF74" i="5" s="1"/>
  <c r="BM74" i="5" s="1"/>
  <c r="AD66" i="5"/>
  <c r="Y66" i="5"/>
  <c r="AF66" i="5" s="1"/>
  <c r="AP66" i="5" s="1"/>
  <c r="AZ66" i="5" s="1"/>
  <c r="BF66" i="5" s="1"/>
  <c r="BM66" i="5" s="1"/>
  <c r="AD58" i="5"/>
  <c r="Y58" i="5"/>
  <c r="AF58" i="5" s="1"/>
  <c r="AP58" i="5" s="1"/>
  <c r="AZ58" i="5" s="1"/>
  <c r="BF58" i="5" s="1"/>
  <c r="BM58" i="5" s="1"/>
  <c r="AD69" i="5"/>
  <c r="Y69" i="5"/>
  <c r="AF69" i="5" s="1"/>
  <c r="AP69" i="5" s="1"/>
  <c r="AZ69" i="5" s="1"/>
  <c r="BF69" i="5" s="1"/>
  <c r="BM69" i="5" s="1"/>
  <c r="AD61" i="5"/>
  <c r="Y61" i="5"/>
  <c r="AF61" i="5" s="1"/>
  <c r="AP61" i="5" s="1"/>
  <c r="AZ61" i="5" s="1"/>
  <c r="BF61" i="5" s="1"/>
  <c r="BM61" i="5" s="1"/>
  <c r="AD53" i="5"/>
  <c r="Y53" i="5"/>
  <c r="AF53" i="5" s="1"/>
  <c r="AP53" i="5" s="1"/>
  <c r="AZ53" i="5" s="1"/>
  <c r="BF53" i="5" s="1"/>
  <c r="BM53" i="5" s="1"/>
  <c r="AD45" i="5"/>
  <c r="Y45" i="5"/>
  <c r="AF45" i="5" s="1"/>
  <c r="AP45" i="5" s="1"/>
  <c r="AZ45" i="5" s="1"/>
  <c r="BF45" i="5" s="1"/>
  <c r="BM45" i="5" s="1"/>
  <c r="Y75" i="5"/>
  <c r="AF75" i="5" s="1"/>
  <c r="AP75" i="5" s="1"/>
  <c r="AZ75" i="5" s="1"/>
  <c r="BF75" i="5" s="1"/>
  <c r="BM75" i="5" s="1"/>
  <c r="AD75" i="5"/>
  <c r="AD50" i="5"/>
  <c r="Y50" i="5"/>
  <c r="AF50" i="5" s="1"/>
  <c r="AP50" i="5" s="1"/>
  <c r="AZ50" i="5" s="1"/>
  <c r="BF50" i="5" s="1"/>
  <c r="BM50" i="5" s="1"/>
  <c r="AD42" i="5"/>
  <c r="Y42" i="5"/>
  <c r="AF42" i="5" s="1"/>
  <c r="AP42" i="5" s="1"/>
  <c r="AZ42" i="5" s="1"/>
  <c r="BF42" i="5" s="1"/>
  <c r="BM42" i="5" s="1"/>
  <c r="AD34" i="5"/>
  <c r="Y34" i="5"/>
  <c r="AF34" i="5" s="1"/>
  <c r="AP34" i="5" s="1"/>
  <c r="AZ34" i="5" s="1"/>
  <c r="BF34" i="5" s="1"/>
  <c r="BM34" i="5" s="1"/>
  <c r="AD26" i="5"/>
  <c r="Y26" i="5"/>
  <c r="AF26" i="5" s="1"/>
  <c r="AP26" i="5" s="1"/>
  <c r="AZ26" i="5" s="1"/>
  <c r="BF26" i="5" s="1"/>
  <c r="BM26" i="5" s="1"/>
  <c r="AD36" i="5"/>
  <c r="Y36" i="5"/>
  <c r="AF36" i="5" s="1"/>
  <c r="AP36" i="5" s="1"/>
  <c r="AZ36" i="5" s="1"/>
  <c r="BF36" i="5" s="1"/>
  <c r="BM36" i="5" s="1"/>
  <c r="AD27" i="5"/>
  <c r="Y27" i="5"/>
  <c r="AF27" i="5" s="1"/>
  <c r="AP27" i="5" s="1"/>
  <c r="AZ27" i="5" s="1"/>
  <c r="BF27" i="5" s="1"/>
  <c r="BM27" i="5" s="1"/>
  <c r="AD19" i="5"/>
  <c r="Y19" i="5"/>
  <c r="AF19" i="5" s="1"/>
  <c r="AP19" i="5" s="1"/>
  <c r="AZ19" i="5" s="1"/>
  <c r="BF19" i="5" s="1"/>
  <c r="BM19" i="5" s="1"/>
  <c r="AD15" i="5"/>
  <c r="Y15" i="5"/>
  <c r="AF15" i="5" s="1"/>
  <c r="AP15" i="5" s="1"/>
  <c r="AZ15" i="5" s="1"/>
  <c r="BF15" i="5" s="1"/>
  <c r="BM15" i="5" s="1"/>
  <c r="AD6" i="5"/>
  <c r="Y6" i="5"/>
  <c r="AF6" i="5" s="1"/>
  <c r="AP6" i="5" s="1"/>
  <c r="Y9" i="5"/>
  <c r="AF9" i="5" s="1"/>
  <c r="AP9" i="5" s="1"/>
  <c r="AZ9" i="5" s="1"/>
  <c r="BF9" i="5" s="1"/>
  <c r="BM9" i="5" s="1"/>
  <c r="AD9" i="5"/>
  <c r="Y14" i="5"/>
  <c r="AF14" i="5" s="1"/>
  <c r="AP14" i="5" s="1"/>
  <c r="AZ14" i="5" s="1"/>
  <c r="BF14" i="5" s="1"/>
  <c r="BM14" i="5" s="1"/>
  <c r="AD14" i="5"/>
  <c r="B28" i="1"/>
  <c r="B23" i="1"/>
  <c r="B30" i="1" s="1"/>
  <c r="B40" i="1" s="1"/>
  <c r="B50" i="1" s="1"/>
  <c r="B56" i="1" s="1"/>
  <c r="B63" i="1" s="1"/>
  <c r="AZ6" i="5" l="1"/>
  <c r="BF6" i="5" s="1"/>
  <c r="BM6" i="5" s="1"/>
  <c r="BF78" i="5"/>
  <c r="BM78" i="5" s="1"/>
  <c r="AZ78" i="5"/>
</calcChain>
</file>

<file path=xl/comments1.xml><?xml version="1.0" encoding="utf-8"?>
<comments xmlns="http://schemas.openxmlformats.org/spreadsheetml/2006/main">
  <authors>
    <author>Lance Adams</author>
  </authors>
  <commentList>
    <comment ref="BG2" authorId="0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13 pro bin and 12.5 bin
</t>
        </r>
      </text>
    </comment>
    <comment ref="AV5" authorId="0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Lansing FOB
</t>
        </r>
      </text>
    </comment>
    <comment ref="AT9" authorId="0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Cereal Mac 10.5 Pro</t>
        </r>
      </text>
    </comment>
    <comment ref="AT11" authorId="0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On 11.5 cak</t>
        </r>
      </text>
    </comment>
    <comment ref="AV13" authorId="0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Lansing 147k
KE rest
</t>
        </r>
      </text>
    </comment>
    <comment ref="AT14" authorId="0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Cereal Mac 10.5 pro</t>
        </r>
      </text>
    </comment>
    <comment ref="W27" authorId="0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CSF</t>
        </r>
      </text>
    </comment>
    <comment ref="BA27" authorId="0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13's
</t>
        </r>
      </text>
    </comment>
    <comment ref="BG27" authorId="0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11.5</t>
        </r>
      </text>
    </comment>
    <comment ref="W42" authorId="0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CSF, 300k for Summer</t>
        </r>
      </text>
    </comment>
    <comment ref="W45" authorId="0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CSF</t>
        </r>
      </text>
    </comment>
    <comment ref="W56" authorId="0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for Hutch Feedmill
</t>
        </r>
      </text>
    </comment>
    <comment ref="AT59" authorId="0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Ardent Wichita
</t>
        </r>
      </text>
    </comment>
    <comment ref="BG62" authorId="0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11.2 pro
</t>
        </r>
      </text>
    </comment>
    <comment ref="AW63" authorId="0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Bunge loadboard
</t>
        </r>
      </text>
    </comment>
    <comment ref="AW64" authorId="0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Loadboard
</t>
        </r>
      </text>
    </comment>
    <comment ref="V68" authorId="0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Hillsboro</t>
        </r>
      </text>
    </comment>
    <comment ref="BA70" authorId="0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13's</t>
        </r>
      </text>
    </comment>
    <comment ref="AW71" authorId="0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Bunge loadboard
</t>
        </r>
      </text>
    </comment>
    <comment ref="AV76" authorId="0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DS
</t>
        </r>
      </text>
    </comment>
    <comment ref="AW76" authorId="0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DS
</t>
        </r>
      </text>
    </comment>
    <comment ref="BA76" authorId="0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Off farm
</t>
        </r>
      </text>
    </comment>
    <comment ref="BC76" authorId="0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DS/Commercial
</t>
        </r>
      </text>
    </comment>
    <comment ref="AT77" authorId="0" shapeId="0">
      <text>
        <r>
          <rPr>
            <b/>
            <sz val="9"/>
            <color indexed="81"/>
            <rFont val="Tahoma"/>
            <charset val="1"/>
          </rPr>
          <t xml:space="preserve">Lance Adams:
</t>
        </r>
        <r>
          <rPr>
            <sz val="9"/>
            <color indexed="81"/>
            <rFont val="Tahoma"/>
            <charset val="1"/>
          </rPr>
          <t xml:space="preserve">LDC/Attebury Wash 820
</t>
        </r>
      </text>
    </comment>
    <comment ref="AU77" authorId="0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JJ
</t>
        </r>
      </text>
    </comment>
    <comment ref="AV77" authorId="0" shapeId="0">
      <text>
        <r>
          <rPr>
            <b/>
            <sz val="9"/>
            <color indexed="81"/>
            <rFont val="Tahoma"/>
            <charset val="1"/>
          </rPr>
          <t>Lance Adams:</t>
        </r>
        <r>
          <rPr>
            <sz val="9"/>
            <color indexed="81"/>
            <rFont val="Tahoma"/>
            <charset val="1"/>
          </rPr>
          <t xml:space="preserve">
JJ
</t>
        </r>
      </text>
    </comment>
  </commentList>
</comments>
</file>

<file path=xl/sharedStrings.xml><?xml version="1.0" encoding="utf-8"?>
<sst xmlns="http://schemas.openxmlformats.org/spreadsheetml/2006/main" count="271" uniqueCount="260">
  <si>
    <t>Hillboro311</t>
  </si>
  <si>
    <t>BUSHELS</t>
  </si>
  <si>
    <t>Wheat in Elevator</t>
  </si>
  <si>
    <t>Milo in Elevator</t>
  </si>
  <si>
    <t>Corn in Elevator</t>
  </si>
  <si>
    <t>Beans in Elevator</t>
  </si>
  <si>
    <t>Sunseeds in Elevator</t>
  </si>
  <si>
    <t>Other Grains</t>
  </si>
  <si>
    <t>Total Grain in Elevator</t>
  </si>
  <si>
    <t>Wheat Sales</t>
  </si>
  <si>
    <t>Milo Sales</t>
  </si>
  <si>
    <t>Corn Sales</t>
  </si>
  <si>
    <t>Bean Sales</t>
  </si>
  <si>
    <t>Sunseed Sales</t>
  </si>
  <si>
    <t>Wheat Transfer</t>
  </si>
  <si>
    <t>Corn Transfer</t>
  </si>
  <si>
    <t>Bean Transfer</t>
  </si>
  <si>
    <t>Bunker</t>
  </si>
  <si>
    <t>Feed Milo Pre Harvest</t>
  </si>
  <si>
    <t>Feed Corn Pre Harvest</t>
  </si>
  <si>
    <t>Grain in Elev after Liab</t>
  </si>
  <si>
    <t>90% Upright Capacity</t>
  </si>
  <si>
    <t>90% Flat Capacity</t>
  </si>
  <si>
    <t>Temporary Storage</t>
  </si>
  <si>
    <t>90% Space</t>
  </si>
  <si>
    <t>Total Adjusted Space</t>
  </si>
  <si>
    <t>Estimated Milo Rec</t>
  </si>
  <si>
    <t>Estimated Corn Rec</t>
  </si>
  <si>
    <t>Estimated Bean Rec</t>
  </si>
  <si>
    <t>Estimated Seed Rec</t>
  </si>
  <si>
    <t>Estimated Wheat Rec</t>
  </si>
  <si>
    <t>Estimated Other Wheat Rec</t>
  </si>
  <si>
    <t>Long or Short</t>
  </si>
  <si>
    <t>Feed Milo Post Harvest</t>
  </si>
  <si>
    <t>Feed Corn Post Harvest</t>
  </si>
  <si>
    <t>Wheat sold not allocated</t>
  </si>
  <si>
    <t>Milo sold not allocated</t>
  </si>
  <si>
    <t>Corn sold not allocated</t>
  </si>
  <si>
    <t>Beans sold not allocated</t>
  </si>
  <si>
    <t>Sunflowers sold not allocated</t>
  </si>
  <si>
    <t>Canton Sold Not Allocated</t>
  </si>
  <si>
    <t>To Sell Wheat 2017</t>
  </si>
  <si>
    <t>Wheat to sell</t>
  </si>
  <si>
    <t>Milo to sell</t>
  </si>
  <si>
    <t>Corn to sell</t>
  </si>
  <si>
    <t>Beans to sell</t>
  </si>
  <si>
    <t>Sunflowers to sell</t>
  </si>
  <si>
    <t>New Crop to Sell</t>
  </si>
  <si>
    <t>Bavaria 171</t>
  </si>
  <si>
    <t>Bridge 101</t>
  </si>
  <si>
    <t>Buhler 21</t>
  </si>
  <si>
    <t>Castlet 111</t>
  </si>
  <si>
    <t>Elyria 131</t>
  </si>
  <si>
    <t>Marq 191</t>
  </si>
  <si>
    <t>Marq Bunker 190</t>
  </si>
  <si>
    <t>Falun141</t>
  </si>
  <si>
    <t>Galva91</t>
  </si>
  <si>
    <t>Grovland31</t>
  </si>
  <si>
    <t>GrovBunk32</t>
  </si>
  <si>
    <t>Haven71</t>
  </si>
  <si>
    <t>Hilton183</t>
  </si>
  <si>
    <t>Lindbrg61</t>
  </si>
  <si>
    <t>Mdge11</t>
  </si>
  <si>
    <t>Marlin182</t>
  </si>
  <si>
    <t>Hicky181</t>
  </si>
  <si>
    <t>Windm161</t>
  </si>
  <si>
    <t>Roxby151</t>
  </si>
  <si>
    <t>Gossl81</t>
  </si>
  <si>
    <t>Mcterm185</t>
  </si>
  <si>
    <t>Wichita205</t>
  </si>
  <si>
    <t>Walton212</t>
  </si>
  <si>
    <t>Walton Bunker215</t>
  </si>
  <si>
    <t>Peabody222</t>
  </si>
  <si>
    <t>Burns242</t>
  </si>
  <si>
    <t>Burns Bunker 245</t>
  </si>
  <si>
    <t>Flornc252</t>
  </si>
  <si>
    <t>Newton262</t>
  </si>
  <si>
    <t>Whitwat272</t>
  </si>
  <si>
    <t>Benton292</t>
  </si>
  <si>
    <t>BentBunker291</t>
  </si>
  <si>
    <t xml:space="preserve">Rice County187 </t>
  </si>
  <si>
    <t>Rice Bunker188</t>
  </si>
  <si>
    <t>Onaga295</t>
  </si>
  <si>
    <t>Alta Vista294</t>
  </si>
  <si>
    <t>Alta Vista Bunker 296</t>
  </si>
  <si>
    <t>Manhattan293</t>
  </si>
  <si>
    <t>Canton Term560</t>
  </si>
  <si>
    <t>Canton Term561</t>
  </si>
  <si>
    <t>Hillsboro Bunker315</t>
  </si>
  <si>
    <t>Lehigh331</t>
  </si>
  <si>
    <t>Marion341</t>
  </si>
  <si>
    <t>Canton351</t>
  </si>
  <si>
    <t>Canada361</t>
  </si>
  <si>
    <t>Hal432-433</t>
  </si>
  <si>
    <t>Mthope442</t>
  </si>
  <si>
    <t>Patter443</t>
  </si>
  <si>
    <t>Patterson Bunker 445</t>
  </si>
  <si>
    <t>Bentley 447</t>
  </si>
  <si>
    <t>Nicker510</t>
  </si>
  <si>
    <t>Hutch520</t>
  </si>
  <si>
    <t>Whitsd530</t>
  </si>
  <si>
    <t>Partdg540</t>
  </si>
  <si>
    <t>Alden541</t>
  </si>
  <si>
    <t>Bushton542</t>
  </si>
  <si>
    <t>Chase543</t>
  </si>
  <si>
    <t>Claflin544</t>
  </si>
  <si>
    <t>Frederick545</t>
  </si>
  <si>
    <t>Geneseo546</t>
  </si>
  <si>
    <t>Lorraine547</t>
  </si>
  <si>
    <t>Lyons548</t>
  </si>
  <si>
    <t>Pollard549</t>
  </si>
  <si>
    <t>Saxman550</t>
  </si>
  <si>
    <t>Sterling551</t>
  </si>
  <si>
    <t>Abilene195</t>
  </si>
  <si>
    <t>Bennington196</t>
  </si>
  <si>
    <t>Culver198</t>
  </si>
  <si>
    <t>Longford193</t>
  </si>
  <si>
    <t>Solomon194</t>
  </si>
  <si>
    <t>Talmage192</t>
  </si>
  <si>
    <t>TalBunk200</t>
  </si>
  <si>
    <t>Elmo565</t>
  </si>
  <si>
    <t>Yoder566</t>
  </si>
  <si>
    <t>Unallocated</t>
  </si>
  <si>
    <t>`</t>
  </si>
  <si>
    <t xml:space="preserve"> </t>
  </si>
  <si>
    <t>Total</t>
  </si>
  <si>
    <t>Location</t>
  </si>
  <si>
    <t>Branch</t>
  </si>
  <si>
    <t>LongShort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</si>
  <si>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</si>
  <si>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</si>
  <si>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</si>
  <si>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</si>
  <si>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</si>
  <si>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</si>
  <si>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</si>
  <si>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</si>
  <si>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</si>
  <si>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</si>
  <si>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Column15</t>
  </si>
  <si>
    <t>Column16</t>
  </si>
  <si>
    <t>BranchName</t>
  </si>
  <si>
    <t>YODER</t>
  </si>
  <si>
    <t>ELMO</t>
  </si>
  <si>
    <t>TALMAGE BUNKER</t>
  </si>
  <si>
    <t>SOLOMON</t>
  </si>
  <si>
    <t>LONGFORD</t>
  </si>
  <si>
    <t>CULVER</t>
  </si>
  <si>
    <t>BENNINGTON</t>
  </si>
  <si>
    <t>ABILENE</t>
  </si>
  <si>
    <t>STERLING</t>
  </si>
  <si>
    <t>SAXMAN</t>
  </si>
  <si>
    <t>POLLARD</t>
  </si>
  <si>
    <t>LYONS</t>
  </si>
  <si>
    <t>LORRAINE</t>
  </si>
  <si>
    <t>GENESEO</t>
  </si>
  <si>
    <t>FREDERICK</t>
  </si>
  <si>
    <t>CLAFLIN</t>
  </si>
  <si>
    <t>CHASE</t>
  </si>
  <si>
    <t>BUSHTON</t>
  </si>
  <si>
    <t>ALDEN</t>
  </si>
  <si>
    <t>PARTRIDGE</t>
  </si>
  <si>
    <t>WHITESIDE</t>
  </si>
  <si>
    <t>HUTCHINSON</t>
  </si>
  <si>
    <t>NICKERSON</t>
  </si>
  <si>
    <t>BENTLEY</t>
  </si>
  <si>
    <t>PATTERSON BUNKER</t>
  </si>
  <si>
    <t>MOUNT HOPE</t>
  </si>
  <si>
    <t>HALSTEAD</t>
  </si>
  <si>
    <t>CANADA</t>
  </si>
  <si>
    <t>CANTON</t>
  </si>
  <si>
    <t>MARION</t>
  </si>
  <si>
    <t>LEHIGH</t>
  </si>
  <si>
    <t>HILLSBORO BUNKER</t>
  </si>
  <si>
    <t>CANTON TERMINAL BUNKER</t>
  </si>
  <si>
    <t>CANTON TERMINAL</t>
  </si>
  <si>
    <t>MANHATTAN</t>
  </si>
  <si>
    <t>ALTA VISTA</t>
  </si>
  <si>
    <t>ALTA VISTA BUNKER</t>
  </si>
  <si>
    <t>ONAGA</t>
  </si>
  <si>
    <t>RICE COUNTY BUNKER</t>
  </si>
  <si>
    <t>BENTON BUNKER</t>
  </si>
  <si>
    <t>BENTON</t>
  </si>
  <si>
    <t>WHITEWATER</t>
  </si>
  <si>
    <t>NEWTON</t>
  </si>
  <si>
    <t>FLORENCE</t>
  </si>
  <si>
    <t>BURNS BUNKER</t>
  </si>
  <si>
    <t>BURNS</t>
  </si>
  <si>
    <t>PEABODY</t>
  </si>
  <si>
    <t>WALTON BUNKER</t>
  </si>
  <si>
    <t>WALTON</t>
  </si>
  <si>
    <t>WICHITA</t>
  </si>
  <si>
    <t>MCPHERSON TERMINAL</t>
  </si>
  <si>
    <t>GOESSEL</t>
  </si>
  <si>
    <t>ROXBURY</t>
  </si>
  <si>
    <t>WINDOM</t>
  </si>
  <si>
    <t>HICKORY</t>
  </si>
  <si>
    <t>MARLIN</t>
  </si>
  <si>
    <t>MOUNDRIDGE</t>
  </si>
  <si>
    <t>LINDSBORG</t>
  </si>
  <si>
    <t>HILTON</t>
  </si>
  <si>
    <t>HAVEN</t>
  </si>
  <si>
    <t>GROVELAND BUNKER</t>
  </si>
  <si>
    <t>GROVELAND</t>
  </si>
  <si>
    <t>GALVA</t>
  </si>
  <si>
    <t>FALUN</t>
  </si>
  <si>
    <t>MARQUETTE</t>
  </si>
  <si>
    <t>MARQUETTE BUNKER</t>
  </si>
  <si>
    <t>ELYRIA</t>
  </si>
  <si>
    <t>CASTLETON</t>
  </si>
  <si>
    <t>BUHLER</t>
  </si>
  <si>
    <t>BRIDGEPORT</t>
  </si>
  <si>
    <t>BAVARIA</t>
  </si>
  <si>
    <t>WheatElevator</t>
  </si>
  <si>
    <t>MiloElevator</t>
  </si>
  <si>
    <t>CornElevator</t>
  </si>
  <si>
    <t>BeansElevator</t>
  </si>
  <si>
    <t>SunseedsElevator</t>
  </si>
  <si>
    <t>OtherGrains</t>
  </si>
  <si>
    <t>TotalElevator</t>
  </si>
  <si>
    <t>WheatSales</t>
  </si>
  <si>
    <t>MiloSales</t>
  </si>
  <si>
    <t>CornSales</t>
  </si>
  <si>
    <t>BeanSales</t>
  </si>
  <si>
    <t>SunseedSales</t>
  </si>
  <si>
    <t>WheatTransfer</t>
  </si>
  <si>
    <t>CornTransfer</t>
  </si>
  <si>
    <t>BeanTransfer</t>
  </si>
  <si>
    <t>FeedMiloPreHarvest</t>
  </si>
  <si>
    <t>FeedCornPreHarvest</t>
  </si>
  <si>
    <t>GrainAfterLiab</t>
  </si>
  <si>
    <t>90UprightCapacity</t>
  </si>
  <si>
    <t>90FlatCapacity</t>
  </si>
  <si>
    <t>TemporaryStorage</t>
  </si>
  <si>
    <t>90Space</t>
  </si>
  <si>
    <t>TotalAdjustedSpace</t>
  </si>
  <si>
    <t>EstimatedMiloRec</t>
  </si>
  <si>
    <t>EstimatedCornRec</t>
  </si>
  <si>
    <t>EstimatedBeanRec</t>
  </si>
  <si>
    <t>EstimatedSeedRec</t>
  </si>
  <si>
    <t>EstimatedWheatRec</t>
  </si>
  <si>
    <t>EstimatedOtherWheatRec</t>
  </si>
  <si>
    <t>FeedMiloPostHarvest</t>
  </si>
  <si>
    <t>FeedCornPostHarvest</t>
  </si>
  <si>
    <t>WheatSoldNotAllocated</t>
  </si>
  <si>
    <t>MiloSoldNotAllocated</t>
  </si>
  <si>
    <t>CornSoldNotAllocated</t>
  </si>
  <si>
    <t>BeansSoldNotAllocated</t>
  </si>
  <si>
    <t>CantonSoldNotAllocated</t>
  </si>
  <si>
    <t>WheatSoldNotAllocated11</t>
  </si>
  <si>
    <t>MiloSoldNotAllocated12</t>
  </si>
  <si>
    <t>CornSoldNotAllocated13</t>
  </si>
  <si>
    <t>BeansSoldNotAllocated14</t>
  </si>
  <si>
    <t>ToSellWheat2017</t>
  </si>
  <si>
    <t>WheatToSell</t>
  </si>
  <si>
    <t>MiloToSell</t>
  </si>
  <si>
    <t>CornToSell</t>
  </si>
  <si>
    <t>BeansToSell</t>
  </si>
  <si>
    <t>SunflowersToSell</t>
  </si>
  <si>
    <t>NewCropToSell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</si>
</sst>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rgb="FF0066FF"/>
      <name val="Arial"/>
      <family val="2"/>
    </font>
    <font>
      <sz val="10"/>
      <color rgb="FF00B05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65">
    <xf numFmtId="0" fontId="0" fillId="0" borderId="0" xfId="0"/>
    <xf numFmtId="0" fontId="2" fillId="0" borderId="0" xfId="0" applyFont="1" applyFill="1" applyAlignment="1" applyProtection="1">
      <alignment horizontal="center"/>
      <protection locked="0"/>
    </xf>
    <xf numFmtId="3" fontId="3" fillId="0" borderId="0" xfId="0" applyNumberFormat="1" applyFont="1" applyFill="1" applyProtection="1"/>
    <xf numFmtId="3" fontId="4" fillId="0" borderId="0" xfId="0" applyNumberFormat="1" applyFont="1" applyFill="1" applyProtection="1">
      <protection locked="0"/>
    </xf>
    <xf numFmtId="3" fontId="5" fillId="0" borderId="0" xfId="0" applyNumberFormat="1" applyFont="1" applyFill="1" applyProtection="1"/>
    <xf numFmtId="3" fontId="6" fillId="0" borderId="0" xfId="0" applyNumberFormat="1" applyFont="1" applyFill="1" applyProtection="1">
      <protection locked="0"/>
    </xf>
    <xf numFmtId="3" fontId="6" fillId="0" borderId="1" xfId="0" applyNumberFormat="1" applyFont="1" applyFill="1" applyBorder="1" applyProtection="1">
      <protection locked="0"/>
    </xf>
    <xf numFmtId="3" fontId="6" fillId="0" borderId="0" xfId="0" applyNumberFormat="1" applyFont="1" applyFill="1" applyBorder="1" applyProtection="1">
      <protection locked="0"/>
    </xf>
    <xf numFmtId="3" fontId="7" fillId="0" borderId="0" xfId="0" applyNumberFormat="1" applyFont="1" applyFill="1" applyProtection="1">
      <protection locked="0"/>
    </xf>
    <xf numFmtId="3" fontId="0" fillId="0" borderId="1" xfId="0" applyNumberFormat="1" applyFill="1" applyBorder="1" applyProtection="1">
      <protection locked="0"/>
    </xf>
    <xf numFmtId="3" fontId="0" fillId="0" borderId="2" xfId="0" applyNumberFormat="1" applyFill="1" applyBorder="1" applyProtection="1">
      <protection locked="0"/>
    </xf>
    <xf numFmtId="3" fontId="2" fillId="0" borderId="1" xfId="0" applyNumberFormat="1" applyFont="1" applyFill="1" applyBorder="1" applyProtection="1">
      <protection locked="0"/>
    </xf>
    <xf numFmtId="0" fontId="6" fillId="0" borderId="0" xfId="0" applyFont="1" applyFill="1" applyProtection="1">
      <protection locked="0"/>
    </xf>
    <xf numFmtId="0" fontId="6" fillId="0" borderId="3" xfId="0" applyFont="1" applyFill="1" applyBorder="1" applyProtection="1">
      <protection locked="0"/>
    </xf>
    <xf numFmtId="164" fontId="6" fillId="0" borderId="3" xfId="1" applyNumberFormat="1" applyFont="1" applyFill="1" applyBorder="1" applyProtection="1">
      <protection locked="0"/>
    </xf>
    <xf numFmtId="164" fontId="2" fillId="0" borderId="3" xfId="1" applyNumberFormat="1" applyFont="1" applyFill="1" applyBorder="1" applyProtection="1">
      <protection locked="0"/>
    </xf>
    <xf numFmtId="164" fontId="6" fillId="0" borderId="0" xfId="1" applyNumberFormat="1" applyFont="1" applyFill="1" applyBorder="1" applyProtection="1">
      <protection locked="0"/>
    </xf>
    <xf numFmtId="0" fontId="0" fillId="0" borderId="3" xfId="0" applyBorder="1"/>
    <xf numFmtId="0" fontId="0" fillId="0" borderId="3" xfId="0" applyNumberFormat="1" applyBorder="1"/>
    <xf numFmtId="0" fontId="0" fillId="0" borderId="0" xfId="0" applyNumberFormat="1"/>
    <xf numFmtId="3" fontId="5" fillId="0" borderId="0" xfId="0" applyNumberFormat="1" applyFont="1" applyFill="1" applyProtection="1">
      <protection locked="0"/>
    </xf>
    <xf numFmtId="0" fontId="2" fillId="0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0" borderId="3" xfId="0" applyFont="1" applyBorder="1"/>
    <xf numFmtId="49" fontId="2" fillId="0" borderId="0" xfId="0" applyNumberFormat="1" applyFont="1" applyFill="1" applyAlignment="1" applyProtection="1">
      <alignment horizontal="center"/>
      <protection locked="0"/>
    </xf>
    <xf numFmtId="3" fontId="8" fillId="0" borderId="0" xfId="0" applyNumberFormat="1" applyFont="1" applyFill="1" applyProtection="1"/>
    <xf numFmtId="3" fontId="4" fillId="0" borderId="0" xfId="0" applyNumberFormat="1" applyFont="1" applyFill="1" applyBorder="1" applyProtection="1">
      <protection locked="0"/>
    </xf>
    <xf numFmtId="3" fontId="6" fillId="0" borderId="4" xfId="0" applyNumberFormat="1" applyFont="1" applyFill="1" applyBorder="1" applyProtection="1">
      <protection locked="0"/>
    </xf>
    <xf numFmtId="3" fontId="6" fillId="0" borderId="5" xfId="0" applyNumberFormat="1" applyFont="1" applyFill="1" applyBorder="1" applyProtection="1">
      <protection locked="0"/>
    </xf>
    <xf numFmtId="3" fontId="6" fillId="0" borderId="6" xfId="0" applyNumberFormat="1" applyFont="1" applyFill="1" applyBorder="1" applyProtection="1">
      <protection locked="0"/>
    </xf>
    <xf numFmtId="3" fontId="0" fillId="0" borderId="5" xfId="0" applyNumberFormat="1" applyFill="1" applyBorder="1" applyProtection="1">
      <protection locked="0"/>
    </xf>
    <xf numFmtId="3" fontId="0" fillId="0" borderId="6" xfId="0" applyNumberFormat="1" applyFill="1" applyBorder="1" applyProtection="1">
      <protection locked="0"/>
    </xf>
    <xf numFmtId="3" fontId="0" fillId="0" borderId="7" xfId="0" applyNumberFormat="1" applyFill="1" applyBorder="1" applyProtection="1">
      <protection locked="0"/>
    </xf>
    <xf numFmtId="3" fontId="2" fillId="0" borderId="5" xfId="0" applyNumberFormat="1" applyFont="1" applyFill="1" applyBorder="1" applyProtection="1">
      <protection locked="0"/>
    </xf>
    <xf numFmtId="3" fontId="2" fillId="0" borderId="6" xfId="0" applyNumberFormat="1" applyFont="1" applyFill="1" applyBorder="1" applyProtection="1">
      <protection locked="0"/>
    </xf>
    <xf numFmtId="3" fontId="9" fillId="0" borderId="1" xfId="0" applyNumberFormat="1" applyFont="1" applyFill="1" applyBorder="1" applyProtection="1">
      <protection locked="0"/>
    </xf>
    <xf numFmtId="3" fontId="6" fillId="0" borderId="1" xfId="2" applyNumberFormat="1" applyFont="1" applyFill="1" applyBorder="1" applyProtection="1">
      <protection locked="0"/>
    </xf>
    <xf numFmtId="3" fontId="10" fillId="0" borderId="1" xfId="2" applyNumberFormat="1" applyFont="1" applyFill="1" applyBorder="1" applyProtection="1">
      <protection locked="0"/>
    </xf>
    <xf numFmtId="3" fontId="2" fillId="0" borderId="1" xfId="2" applyNumberFormat="1" applyFont="1" applyFill="1" applyBorder="1" applyProtection="1">
      <protection locked="0"/>
    </xf>
    <xf numFmtId="0" fontId="8" fillId="0" borderId="3" xfId="0" applyFont="1" applyFill="1" applyBorder="1" applyProtection="1">
      <protection locked="0"/>
    </xf>
    <xf numFmtId="164" fontId="11" fillId="0" borderId="3" xfId="1" applyNumberFormat="1" applyFont="1" applyFill="1" applyBorder="1" applyProtection="1">
      <protection locked="0"/>
    </xf>
    <xf numFmtId="164" fontId="12" fillId="0" borderId="3" xfId="1" applyNumberFormat="1" applyFont="1" applyFill="1" applyBorder="1" applyProtection="1">
      <protection locked="0"/>
    </xf>
    <xf numFmtId="164" fontId="8" fillId="0" borderId="3" xfId="1" applyNumberFormat="1" applyFont="1" applyFill="1" applyBorder="1" applyProtection="1">
      <protection locked="0"/>
    </xf>
    <xf numFmtId="164" fontId="6" fillId="0" borderId="3" xfId="1" applyNumberFormat="1" applyFont="1" applyFill="1" applyBorder="1" applyAlignment="1" applyProtection="1">
      <alignment horizontal="center"/>
      <protection locked="0"/>
    </xf>
    <xf numFmtId="164" fontId="12" fillId="0" borderId="3" xfId="1" applyNumberFormat="1" applyFont="1" applyFill="1" applyBorder="1" applyAlignment="1" applyProtection="1">
      <alignment horizontal="center"/>
      <protection locked="0"/>
    </xf>
    <xf numFmtId="0" fontId="6" fillId="0" borderId="3" xfId="1" applyNumberFormat="1" applyFont="1" applyFill="1" applyBorder="1" applyProtection="1">
      <protection locked="0"/>
    </xf>
    <xf numFmtId="164" fontId="13" fillId="0" borderId="3" xfId="1" applyNumberFormat="1" applyFont="1" applyFill="1" applyBorder="1" applyProtection="1">
      <protection locked="0"/>
    </xf>
    <xf numFmtId="164" fontId="0" fillId="0" borderId="3" xfId="1" applyNumberFormat="1" applyFont="1" applyFill="1" applyBorder="1" applyProtection="1">
      <protection locked="0"/>
    </xf>
    <xf numFmtId="0" fontId="0" fillId="0" borderId="3" xfId="0" applyNumberFormat="1" applyFill="1" applyBorder="1"/>
    <xf numFmtId="164" fontId="6" fillId="0" borderId="3" xfId="0" applyNumberFormat="1" applyFont="1" applyFill="1" applyBorder="1" applyProtection="1">
      <protection locked="0"/>
    </xf>
    <xf numFmtId="0" fontId="0" fillId="0" borderId="3" xfId="0" applyNumberFormat="1" applyFont="1" applyBorder="1"/>
    <xf numFmtId="164" fontId="0" fillId="0" borderId="3" xfId="0" applyNumberFormat="1" applyFont="1" applyFill="1" applyBorder="1" applyProtection="1"/>
    <xf numFmtId="0" fontId="6" fillId="0" borderId="3" xfId="1" applyNumberFormat="1" applyFont="1" applyFill="1" applyBorder="1" applyAlignment="1" applyProtection="1">
      <protection locked="0"/>
    </xf>
    <xf numFmtId="0" fontId="0" fillId="0" borderId="3" xfId="0" applyNumberFormat="1" applyBorder="1" applyAlignment="1"/>
    <xf numFmtId="164" fontId="0" fillId="0" borderId="3" xfId="0" applyNumberFormat="1" applyBorder="1"/>
    <xf numFmtId="3" fontId="0" fillId="0" borderId="3" xfId="0" applyNumberFormat="1" applyBorder="1"/>
    <xf numFmtId="0" fontId="0" fillId="0" borderId="0" xfId="0" applyNumberFormat="1" applyFont="1"/>
    <xf numFmtId="3" fontId="4" fillId="0" borderId="0" xfId="0" applyNumberFormat="1" applyFont="1" applyFill="1" applyProtection="1"/>
    <xf numFmtId="3" fontId="6" fillId="0" borderId="0" xfId="0" applyNumberFormat="1" applyFont="1" applyFill="1" applyProtection="1"/>
    <xf numFmtId="3" fontId="6" fillId="0" borderId="0" xfId="0" applyNumberFormat="1" applyFont="1" applyFill="1" applyBorder="1" applyProtection="1"/>
    <xf numFmtId="3" fontId="7" fillId="0" borderId="0" xfId="0" applyNumberFormat="1" applyFont="1" applyFill="1" applyProtection="1"/>
    <xf numFmtId="164" fontId="0" fillId="0" borderId="0" xfId="0" applyNumberFormat="1" applyFont="1" applyFill="1" applyProtection="1">
      <protection locked="0"/>
    </xf>
    <xf numFmtId="0" fontId="6" fillId="0" borderId="0" xfId="0" applyNumberFormat="1" applyFont="1" applyFill="1" applyProtection="1">
      <protection locked="0"/>
    </xf>
  </cellXfs>
  <cellStyles count="3">
    <cellStyle name="Comma" xfId="1" builtinId="3"/>
    <cellStyle name="Normal" xfId="0" builtinId="0"/>
    <cellStyle name="Normal 2" xfId="2"/>
  </cellStyles>
  <dxfs count="6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0" hidden="0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66FF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66FF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7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7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7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7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7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7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7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7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7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7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strike val="0"/>
        <condense val="0"/>
        <extend val="0"/>
        <color indexed="10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10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10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10"/>
      </font>
    </dxf>
    <dxf>
      <font>
        <strike val="0"/>
        <condense val="0"/>
        <extend val="0"/>
        <color indexed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strike val="0"/>
        <condense val="0"/>
        <extend val="0"/>
        <color indexed="10"/>
      </font>
    </dxf>
    <dxf>
      <font>
        <strike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lyons/AppData/Local/Microsoft/Windows/INetCache/Content.Outlook/QHUOG8O3/HVSTLS%20-%20-%20wheat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VSTLS%20-%20-%20wheat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A Harvest Long and Short"/>
      <sheetName val="Greenleaf Harvest Long &amp; Short"/>
      <sheetName val="tma fall LS 2002"/>
      <sheetName val="Open Fax Sheet, Long &amp; Short"/>
      <sheetName val="UPDATE"/>
      <sheetName val="Long and Short"/>
      <sheetName val="Sheet1"/>
      <sheetName val="AGTRAXDATA"/>
      <sheetName val="SALESCONTRAC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F1" t="str">
            <v>Sum of ADJBAL</v>
          </cell>
        </row>
      </sheetData>
      <sheetData sheetId="8">
        <row r="1">
          <cell r="E1" t="str">
            <v>Sum of LBS_UPDATED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A Harvest Long and Short"/>
      <sheetName val="Greenleaf Harvest Long &amp; Short"/>
      <sheetName val="tma fall LS 2002"/>
      <sheetName val="Open Fax Sheet, Long &amp; Short"/>
      <sheetName val="UPDATE"/>
      <sheetName val="Long and Short"/>
      <sheetName val="Sheet1"/>
      <sheetName val="AGTRAXDATA"/>
      <sheetName val="SALESCONTRAC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F1" t="str">
            <v>Sum of ADJBAL</v>
          </cell>
        </row>
      </sheetData>
      <sheetData sheetId="8">
        <row r="1">
          <cell r="E1" t="str">
            <v>Sum of LBS_UPDATED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A1:B63" totalsRowShown="0">
  <autoFilter ref="A1:B63"/>
  <tableColumns count="2">
    <tableColumn id="1" name="BUSHELS" dataDxfId="64"/>
    <tableColumn id="2" name="Hillboro3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BM78" totalsRowShown="0" headerRowDxfId="55">
  <autoFilter ref="A1:BM78"/>
  <tableColumns count="65">
    <tableColumn id="1" name="Branch"/>
    <tableColumn id="65" name="BranchName"/>
    <tableColumn id="2" name="Location" dataDxfId="54"/>
    <tableColumn id="3" name="WheatElevator" dataDxfId="53"/>
    <tableColumn id="4" name="MiloElevator" dataDxfId="52"/>
    <tableColumn id="5" name="CornElevator" dataDxfId="51"/>
    <tableColumn id="6" name="BeansElevator" dataDxfId="50"/>
    <tableColumn id="7" name="SunseedsElevator" dataDxfId="49"/>
    <tableColumn id="8" name="OtherGrains" dataDxfId="48"/>
    <tableColumn id="9" name="Column1" dataDxfId="47"/>
    <tableColumn id="10" name="TotalElevator" dataDxfId="46">
      <calculatedColumnFormula>SUM(D2:I2)</calculatedColumnFormula>
    </tableColumn>
    <tableColumn id="11" name="Column2" dataDxfId="45"/>
    <tableColumn id="12" name="WheatSales" dataDxfId="44"/>
    <tableColumn id="13" name="MiloSales" dataDxfId="43"/>
    <tableColumn id="14" name="CornSales" dataDxfId="42"/>
    <tableColumn id="15" name="BeanSales" dataDxfId="41"/>
    <tableColumn id="16" name="SunseedSales" dataDxfId="40"/>
    <tableColumn id="17" name="WheatTransfer" dataDxfId="39"/>
    <tableColumn id="18" name="CornTransfer" dataDxfId="38"/>
    <tableColumn id="19" name="BeanTransfer" dataDxfId="37"/>
    <tableColumn id="20" name="Bunker" dataDxfId="36"/>
    <tableColumn id="21" name="FeedMiloPreHarvest" dataDxfId="35"/>
    <tableColumn id="22" name="FeedCornPreHarvest" dataDxfId="34"/>
    <tableColumn id="23" name="Column3" dataDxfId="33"/>
    <tableColumn id="24" name="GrainAfterLiab" dataDxfId="32">
      <calculatedColumnFormula>K2-M2-N2-O2-P2-Q2-R2-S2-T2-U2-V2-W2</calculatedColumnFormula>
    </tableColumn>
    <tableColumn id="25" name="Column4" dataDxfId="31"/>
    <tableColumn id="26" name="90UprightCapacity" dataDxfId="30"/>
    <tableColumn id="27" name="90FlatCapacity" dataDxfId="29"/>
    <tableColumn id="28" name="TemporaryStorage" dataDxfId="28"/>
    <tableColumn id="29" name="90Space" dataDxfId="27"/>
    <tableColumn id="30" name="Column5" dataDxfId="26"/>
    <tableColumn id="31" name="TotalAdjustedSpace" dataDxfId="25">
      <calculatedColumnFormula>AA2+AB2-Y2</calculatedColumnFormula>
    </tableColumn>
    <tableColumn id="32" name="Column6" dataDxfId="24"/>
    <tableColumn id="33" name="EstimatedMiloRec" dataDxfId="23"/>
    <tableColumn id="34" name="EstimatedCornRec" dataDxfId="22"/>
    <tableColumn id="35" name="EstimatedBeanRec" dataDxfId="21"/>
    <tableColumn id="36" name="EstimatedSeedRec" dataDxfId="20"/>
    <tableColumn id="37" name="Column7" dataDxfId="19"/>
    <tableColumn id="38" name="EstimatedWheatRec" dataDxfId="18"/>
    <tableColumn id="39" name="EstimatedOtherWheatRec" dataDxfId="17"/>
    <tableColumn id="40" name="Column8" dataDxfId="16"/>
    <tableColumn id="41" name="LongShort" dataDxfId="15">
      <calculatedColumnFormula>AF2-AH2-AI2-AJ2-AK2-AM2-AN2</calculatedColumnFormula>
    </tableColumn>
    <tableColumn id="42" name="Column9" dataDxfId="14"/>
    <tableColumn id="43" name="FeedMiloPostHarvest" dataDxfId="13"/>
    <tableColumn id="44" name="FeedCornPostHarvest" dataDxfId="12"/>
    <tableColumn id="45" name="WheatSoldNotAllocated" dataDxfId="11" dataCellStyle="Comma"/>
    <tableColumn id="46" name="MiloSoldNotAllocated" dataDxfId="10" dataCellStyle="Comma"/>
    <tableColumn id="47" name="CornSoldNotAllocated" dataDxfId="9" dataCellStyle="Comma"/>
    <tableColumn id="48" name="BeansSoldNotAllocated" dataDxfId="8" dataCellStyle="Comma"/>
    <tableColumn id="49" name="Sunflowers sold not allocated" dataDxfId="7" dataCellStyle="Comma"/>
    <tableColumn id="50" name="Column10" dataDxfId="6" dataCellStyle="Comma"/>
    <tableColumn id="51" name="CantonSoldNotAllocated" dataDxfId="5"/>
    <tableColumn id="52" name="WheatSoldNotAllocated11"/>
    <tableColumn id="53" name="MiloSoldNotAllocated12"/>
    <tableColumn id="54" name="CornSoldNotAllocated13"/>
    <tableColumn id="55" name="BeansSoldNotAllocated14"/>
    <tableColumn id="56" name="Column15" dataDxfId="4" dataCellStyle="Comma"/>
    <tableColumn id="57" name="ToSellWheat2017" dataDxfId="3"/>
    <tableColumn id="58" name="WheatToSell"/>
    <tableColumn id="59" name="MiloToSell"/>
    <tableColumn id="60" name="CornToSell"/>
    <tableColumn id="61" name="BeansToSell"/>
    <tableColumn id="62" name="SunflowersToSell" dataDxfId="2"/>
    <tableColumn id="63" name="Column16" dataDxfId="1"/>
    <tableColumn id="64" name="NewCropToSell" dataDxfId="0">
      <calculatedColumnFormula>SUM(BF2:BK2)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opLeftCell="A13" workbookViewId="0">
      <selection activeCell="D47" sqref="D47"/>
    </sheetView>
  </sheetViews>
  <sheetFormatPr defaultRowHeight="14.4" x14ac:dyDescent="0.3"/>
  <cols>
    <col min="1" max="1" width="26.44140625" style="12" bestFit="1" customWidth="1"/>
    <col min="2" max="2" width="15.21875" style="12" bestFit="1" customWidth="1"/>
  </cols>
  <sheetData>
    <row r="1" spans="1:2" x14ac:dyDescent="0.3">
      <c r="A1" s="21" t="s">
        <v>1</v>
      </c>
      <c r="B1" s="1" t="s">
        <v>0</v>
      </c>
    </row>
    <row r="2" spans="1:2" x14ac:dyDescent="0.3">
      <c r="A2" s="22" t="s">
        <v>2</v>
      </c>
      <c r="B2" s="2" t="e">
        <f>+GETPIVOTDATA("ADJBAL",[1]AGTRAXDATA!$F$1,"BRANCH_NUMBER",311,"COMMODITY_CODE","01")/60</f>
        <v>#REF!</v>
      </c>
    </row>
    <row r="3" spans="1:2" x14ac:dyDescent="0.3">
      <c r="A3" s="22" t="s">
        <v>3</v>
      </c>
      <c r="B3" s="2" t="e">
        <f>+GETPIVOTDATA("ADJBAL",[1]AGTRAXDATA!$F$1,"BRANCH_NUMBER",311,"COMMODITY_CODE","02")/56</f>
        <v>#REF!</v>
      </c>
    </row>
    <row r="4" spans="1:2" x14ac:dyDescent="0.3">
      <c r="A4" s="22" t="s">
        <v>4</v>
      </c>
      <c r="B4" s="2" t="e">
        <f>+GETPIVOTDATA("ADJBAL",[1]AGTRAXDATA!$F$1,"BRANCH_NUMBER",311,"COMMODITY_CODE","04")/56</f>
        <v>#REF!</v>
      </c>
    </row>
    <row r="5" spans="1:2" x14ac:dyDescent="0.3">
      <c r="A5" s="22" t="s">
        <v>5</v>
      </c>
      <c r="B5" s="2" t="e">
        <f>+GETPIVOTDATA("ADJBAL",[1]AGTRAXDATA!$F$1,"BRANCH_NUMBER",311,"COMMODITY_CODE","03")/60</f>
        <v>#REF!</v>
      </c>
    </row>
    <row r="6" spans="1:2" x14ac:dyDescent="0.3">
      <c r="A6" s="22" t="s">
        <v>6</v>
      </c>
      <c r="B6" s="2" t="e">
        <f>+GETPIVOTDATA("ADJBAL",[1]AGTRAXDATA!$F$1,"BRANCH_NUMBER",311,"COMMODITY_CODE","22")/25</f>
        <v>#REF!</v>
      </c>
    </row>
    <row r="7" spans="1:2" x14ac:dyDescent="0.3">
      <c r="A7" s="22" t="s">
        <v>7</v>
      </c>
      <c r="B7" s="3">
        <v>0</v>
      </c>
    </row>
    <row r="8" spans="1:2" x14ac:dyDescent="0.3">
      <c r="A8" s="22"/>
      <c r="B8" s="3"/>
    </row>
    <row r="9" spans="1:2" x14ac:dyDescent="0.3">
      <c r="A9" s="23" t="s">
        <v>8</v>
      </c>
      <c r="B9" s="4" t="e">
        <f t="shared" ref="B9" si="0">SUM(B2:B7)</f>
        <v>#REF!</v>
      </c>
    </row>
    <row r="10" spans="1:2" x14ac:dyDescent="0.3">
      <c r="A10" s="21"/>
      <c r="B10" s="5"/>
    </row>
    <row r="11" spans="1:2" x14ac:dyDescent="0.3">
      <c r="A11" s="12" t="s">
        <v>9</v>
      </c>
      <c r="B11" s="2" t="e">
        <f>+GETPIVOTDATA("LBS_UPDATED",[1]SALESCONTRACTS!$E$1,"BRANCH_NUMBER",311,"COMMODITY_CODE","01")/60</f>
        <v>#REF!</v>
      </c>
    </row>
    <row r="12" spans="1:2" x14ac:dyDescent="0.3">
      <c r="A12" s="12" t="s">
        <v>10</v>
      </c>
      <c r="B12" s="2" t="e">
        <f>+GETPIVOTDATA("LBS_UPDATED",[1]SALESCONTRACTS!$E$1,"BRANCH_NUMBER",311,"COMMODITY_CODE","02")/56</f>
        <v>#REF!</v>
      </c>
    </row>
    <row r="13" spans="1:2" x14ac:dyDescent="0.3">
      <c r="A13" s="12" t="s">
        <v>11</v>
      </c>
      <c r="B13" s="2" t="e">
        <f>+GETPIVOTDATA("LBS_UPDATED",[1]SALESCONTRACTS!$E$1,"BRANCH_NUMBER",311,"COMMODITY_CODE","04")/56</f>
        <v>#REF!</v>
      </c>
    </row>
    <row r="14" spans="1:2" x14ac:dyDescent="0.3">
      <c r="A14" s="12" t="s">
        <v>12</v>
      </c>
      <c r="B14" s="2" t="e">
        <f>+GETPIVOTDATA("LBS_UPDATED",[1]SALESCONTRACTS!$E$1,"BRANCH_NUMBER",311,"COMMODITY_CODE","03")/60</f>
        <v>#REF!</v>
      </c>
    </row>
    <row r="15" spans="1:2" x14ac:dyDescent="0.3">
      <c r="A15" s="12" t="s">
        <v>13</v>
      </c>
      <c r="B15" s="2" t="e">
        <f>+GETPIVOTDATA("LBS_UPDATED",[1]SALESCONTRACTS!$E$1,"BRANCH_NUMBER",311,"COMMODITY_CODE","22")/25</f>
        <v>#REF!</v>
      </c>
    </row>
    <row r="16" spans="1:2" x14ac:dyDescent="0.3">
      <c r="A16" s="12" t="s">
        <v>14</v>
      </c>
      <c r="B16" s="5"/>
    </row>
    <row r="17" spans="1:2" x14ac:dyDescent="0.3">
      <c r="A17" s="12" t="s">
        <v>15</v>
      </c>
      <c r="B17" s="5"/>
    </row>
    <row r="18" spans="1:2" x14ac:dyDescent="0.3">
      <c r="A18" s="12" t="s">
        <v>16</v>
      </c>
      <c r="B18" s="5"/>
    </row>
    <row r="19" spans="1:2" ht="15" thickBot="1" x14ac:dyDescent="0.35">
      <c r="A19" s="12" t="s">
        <v>17</v>
      </c>
      <c r="B19" s="5"/>
    </row>
    <row r="20" spans="1:2" ht="15" thickBot="1" x14ac:dyDescent="0.35">
      <c r="A20" s="21" t="s">
        <v>18</v>
      </c>
      <c r="B20" s="6"/>
    </row>
    <row r="21" spans="1:2" ht="15" thickBot="1" x14ac:dyDescent="0.35">
      <c r="A21" s="21" t="s">
        <v>19</v>
      </c>
      <c r="B21" s="6">
        <v>28000</v>
      </c>
    </row>
    <row r="22" spans="1:2" x14ac:dyDescent="0.3">
      <c r="A22" s="21"/>
      <c r="B22" s="7"/>
    </row>
    <row r="23" spans="1:2" x14ac:dyDescent="0.3">
      <c r="A23" s="23" t="s">
        <v>20</v>
      </c>
      <c r="B23" s="4" t="e">
        <f t="shared" ref="B23" si="1">B9-B11-B12-B13-B14-B15-B16-B17-B18-B19-B20-B21</f>
        <v>#REF!</v>
      </c>
    </row>
    <row r="24" spans="1:2" x14ac:dyDescent="0.3">
      <c r="B24" s="5"/>
    </row>
    <row r="25" spans="1:2" x14ac:dyDescent="0.3">
      <c r="A25" s="12" t="s">
        <v>21</v>
      </c>
      <c r="B25" s="5">
        <v>1279000</v>
      </c>
    </row>
    <row r="26" spans="1:2" x14ac:dyDescent="0.3">
      <c r="A26" s="12" t="s">
        <v>22</v>
      </c>
      <c r="B26" s="5">
        <v>49500</v>
      </c>
    </row>
    <row r="27" spans="1:2" x14ac:dyDescent="0.3">
      <c r="A27" s="12" t="s">
        <v>23</v>
      </c>
      <c r="B27" s="5"/>
    </row>
    <row r="28" spans="1:2" x14ac:dyDescent="0.3">
      <c r="A28" s="24" t="s">
        <v>24</v>
      </c>
      <c r="B28" s="8" t="e">
        <f t="shared" ref="B28" si="2">SUM(B25:B27)-B9</f>
        <v>#REF!</v>
      </c>
    </row>
    <row r="29" spans="1:2" x14ac:dyDescent="0.3">
      <c r="A29" s="24"/>
      <c r="B29" s="8"/>
    </row>
    <row r="30" spans="1:2" x14ac:dyDescent="0.3">
      <c r="A30" s="23" t="s">
        <v>25</v>
      </c>
      <c r="B30" s="4" t="e">
        <f t="shared" ref="B30" si="3">B25+B26-B23</f>
        <v>#REF!</v>
      </c>
    </row>
    <row r="31" spans="1:2" ht="15" thickBot="1" x14ac:dyDescent="0.35">
      <c r="B31" s="5"/>
    </row>
    <row r="32" spans="1:2" ht="15" thickBot="1" x14ac:dyDescent="0.35">
      <c r="A32" s="21" t="s">
        <v>26</v>
      </c>
      <c r="B32" s="9"/>
    </row>
    <row r="33" spans="1:2" ht="15" thickBot="1" x14ac:dyDescent="0.35">
      <c r="A33" s="21" t="s">
        <v>27</v>
      </c>
      <c r="B33" s="9"/>
    </row>
    <row r="34" spans="1:2" ht="15" thickBot="1" x14ac:dyDescent="0.35">
      <c r="A34" s="21" t="s">
        <v>28</v>
      </c>
      <c r="B34" s="10"/>
    </row>
    <row r="35" spans="1:2" ht="15" thickBot="1" x14ac:dyDescent="0.35">
      <c r="A35" s="21" t="s">
        <v>29</v>
      </c>
      <c r="B35" s="6"/>
    </row>
    <row r="36" spans="1:2" ht="15" thickBot="1" x14ac:dyDescent="0.35">
      <c r="A36" s="21"/>
      <c r="B36" s="7"/>
    </row>
    <row r="37" spans="1:2" ht="15" thickBot="1" x14ac:dyDescent="0.35">
      <c r="A37" s="21" t="s">
        <v>30</v>
      </c>
      <c r="B37" s="11">
        <v>690000</v>
      </c>
    </row>
    <row r="38" spans="1:2" ht="15" thickBot="1" x14ac:dyDescent="0.35">
      <c r="A38" s="21" t="s">
        <v>31</v>
      </c>
      <c r="B38" s="6"/>
    </row>
    <row r="39" spans="1:2" x14ac:dyDescent="0.3">
      <c r="A39" s="21"/>
      <c r="B39" s="7"/>
    </row>
    <row r="40" spans="1:2" x14ac:dyDescent="0.3">
      <c r="A40" s="23" t="s">
        <v>32</v>
      </c>
      <c r="B40" s="4" t="e">
        <f t="shared" ref="B40" si="4">B30-B32-B33-B34-B35-B37-B38</f>
        <v>#REF!</v>
      </c>
    </row>
    <row r="42" spans="1:2" x14ac:dyDescent="0.3">
      <c r="A42" s="21" t="s">
        <v>33</v>
      </c>
      <c r="B42" s="13"/>
    </row>
    <row r="43" spans="1:2" x14ac:dyDescent="0.3">
      <c r="A43" s="21" t="s">
        <v>34</v>
      </c>
      <c r="B43" s="13"/>
    </row>
    <row r="44" spans="1:2" x14ac:dyDescent="0.3">
      <c r="A44" s="12" t="s">
        <v>35</v>
      </c>
      <c r="B44" s="14"/>
    </row>
    <row r="45" spans="1:2" x14ac:dyDescent="0.3">
      <c r="A45" s="12" t="s">
        <v>36</v>
      </c>
      <c r="B45" s="15"/>
    </row>
    <row r="46" spans="1:2" x14ac:dyDescent="0.3">
      <c r="A46" s="12" t="s">
        <v>37</v>
      </c>
      <c r="B46" s="14"/>
    </row>
    <row r="47" spans="1:2" x14ac:dyDescent="0.3">
      <c r="A47" s="12" t="s">
        <v>38</v>
      </c>
      <c r="B47" s="14">
        <v>110000</v>
      </c>
    </row>
    <row r="48" spans="1:2" x14ac:dyDescent="0.3">
      <c r="A48" s="12" t="s">
        <v>39</v>
      </c>
      <c r="B48" s="14"/>
    </row>
    <row r="49" spans="1:2" x14ac:dyDescent="0.3">
      <c r="B49" s="16"/>
    </row>
    <row r="50" spans="1:2" x14ac:dyDescent="0.3">
      <c r="A50" s="23" t="s">
        <v>40</v>
      </c>
      <c r="B50" s="4" t="e">
        <f t="shared" ref="B50" si="5">SUM(B40:B48)</f>
        <v>#REF!</v>
      </c>
    </row>
    <row r="51" spans="1:2" x14ac:dyDescent="0.3">
      <c r="A51" s="12" t="s">
        <v>35</v>
      </c>
      <c r="B51" s="14"/>
    </row>
    <row r="52" spans="1:2" x14ac:dyDescent="0.3">
      <c r="A52" s="12" t="s">
        <v>36</v>
      </c>
      <c r="B52" s="14"/>
    </row>
    <row r="53" spans="1:2" x14ac:dyDescent="0.3">
      <c r="A53" s="12" t="s">
        <v>37</v>
      </c>
      <c r="B53" s="14"/>
    </row>
    <row r="54" spans="1:2" x14ac:dyDescent="0.3">
      <c r="A54" s="12" t="s">
        <v>38</v>
      </c>
      <c r="B54" s="14"/>
    </row>
    <row r="55" spans="1:2" x14ac:dyDescent="0.3">
      <c r="B55" s="16"/>
    </row>
    <row r="56" spans="1:2" x14ac:dyDescent="0.3">
      <c r="A56" s="23" t="s">
        <v>41</v>
      </c>
      <c r="B56" s="4" t="e">
        <f t="shared" ref="B56" si="6">SUM(B50:B54)</f>
        <v>#REF!</v>
      </c>
    </row>
    <row r="57" spans="1:2" x14ac:dyDescent="0.3">
      <c r="A57" s="12" t="s">
        <v>42</v>
      </c>
      <c r="B57" s="14"/>
    </row>
    <row r="58" spans="1:2" x14ac:dyDescent="0.3">
      <c r="A58" s="12" t="s">
        <v>43</v>
      </c>
      <c r="B58" s="14"/>
    </row>
    <row r="59" spans="1:2" x14ac:dyDescent="0.3">
      <c r="A59" s="12" t="s">
        <v>44</v>
      </c>
      <c r="B59" s="17"/>
    </row>
    <row r="60" spans="1:2" x14ac:dyDescent="0.3">
      <c r="A60" s="12" t="s">
        <v>45</v>
      </c>
      <c r="B60" s="14"/>
    </row>
    <row r="61" spans="1:2" x14ac:dyDescent="0.3">
      <c r="A61" s="12" t="s">
        <v>46</v>
      </c>
      <c r="B61" s="18"/>
    </row>
    <row r="62" spans="1:2" x14ac:dyDescent="0.3">
      <c r="B62" s="19"/>
    </row>
    <row r="63" spans="1:2" x14ac:dyDescent="0.3">
      <c r="A63" s="23" t="s">
        <v>47</v>
      </c>
      <c r="B63" s="20" t="e">
        <f t="shared" ref="B63" si="7">SUM(B56:B61)</f>
        <v>#REF!</v>
      </c>
    </row>
  </sheetData>
  <conditionalFormatting sqref="B9 B63 B56 B40 B23 B30">
    <cfRule type="cellIs" dxfId="66" priority="1" stopIfTrue="1" operator="greaterThanOrEqual">
      <formula>0</formula>
    </cfRule>
    <cfRule type="cellIs" dxfId="65" priority="2" stopIfTrue="1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78"/>
  <sheetViews>
    <sheetView tabSelected="1" topLeftCell="A43" workbookViewId="0">
      <selection activeCell="H11" sqref="H11"/>
    </sheetView>
  </sheetViews>
  <sheetFormatPr defaultRowHeight="14.4" x14ac:dyDescent="0.3"/>
  <cols>
    <col min="1" max="1" width="9.109375" bestFit="1" customWidth="1"/>
    <col min="2" max="2" width="25" bestFit="1" customWidth="1"/>
    <col min="3" max="3" width="20.21875" bestFit="1" customWidth="1"/>
    <col min="4" max="4" width="17.21875" customWidth="1"/>
    <col min="5" max="5" width="15.109375" customWidth="1"/>
    <col min="6" max="6" width="15.88671875" customWidth="1"/>
    <col min="7" max="7" width="17" customWidth="1"/>
    <col min="8" max="8" width="19.88671875" customWidth="1"/>
    <col min="9" max="9" width="14" bestFit="1" customWidth="1"/>
    <col min="10" max="10" width="10" customWidth="1"/>
    <col min="11" max="11" width="22.44140625" customWidth="1"/>
    <col min="12" max="12" width="10.5546875" customWidth="1"/>
    <col min="13" max="13" width="13.21875" customWidth="1"/>
    <col min="14" max="14" width="11.109375" customWidth="1"/>
    <col min="15" max="15" width="11.88671875" customWidth="1"/>
    <col min="16" max="16" width="12.109375" customWidth="1"/>
    <col min="17" max="17" width="15" customWidth="1"/>
    <col min="18" max="18" width="15.5546875" customWidth="1"/>
    <col min="19" max="19" width="14.21875" customWidth="1"/>
    <col min="20" max="20" width="14.44140625" customWidth="1"/>
    <col min="21" max="21" width="9.5546875" bestFit="1" customWidth="1"/>
    <col min="22" max="22" width="22" customWidth="1"/>
    <col min="23" max="23" width="22.88671875" customWidth="1"/>
    <col min="24" max="24" width="10.5546875" customWidth="1"/>
    <col min="25" max="25" width="23.33203125" bestFit="1" customWidth="1"/>
    <col min="26" max="26" width="10" customWidth="1"/>
    <col min="27" max="27" width="20.6640625" customWidth="1"/>
    <col min="28" max="28" width="17.77734375" customWidth="1"/>
    <col min="29" max="29" width="18.5546875" customWidth="1"/>
    <col min="30" max="30" width="12.5546875" customWidth="1"/>
    <col min="31" max="31" width="10.5546875" customWidth="1"/>
    <col min="32" max="32" width="21.33203125" customWidth="1"/>
    <col min="33" max="33" width="10" customWidth="1"/>
    <col min="34" max="34" width="19.44140625" customWidth="1"/>
    <col min="35" max="35" width="20.33203125" customWidth="1"/>
    <col min="36" max="36" width="20.44140625" customWidth="1"/>
    <col min="37" max="37" width="20.33203125" customWidth="1"/>
    <col min="38" max="38" width="10.5546875" customWidth="1"/>
    <col min="39" max="39" width="21.6640625" customWidth="1"/>
    <col min="40" max="40" width="27.21875" customWidth="1"/>
    <col min="41" max="41" width="10.5546875" customWidth="1"/>
    <col min="42" max="42" width="13.44140625" bestFit="1" customWidth="1"/>
    <col min="43" max="43" width="10" customWidth="1"/>
    <col min="44" max="44" width="23" customWidth="1"/>
    <col min="45" max="45" width="23.88671875" customWidth="1"/>
    <col min="46" max="46" width="22.6640625" customWidth="1"/>
    <col min="47" max="47" width="20.5546875" customWidth="1"/>
    <col min="48" max="48" width="21.33203125" customWidth="1"/>
    <col min="49" max="49" width="22.44140625" customWidth="1"/>
    <col min="50" max="50" width="26.21875" customWidth="1"/>
    <col min="51" max="51" width="11" customWidth="1"/>
    <col min="52" max="52" width="25.88671875" customWidth="1"/>
    <col min="53" max="53" width="26.21875" bestFit="1" customWidth="1"/>
    <col min="54" max="54" width="24" bestFit="1" customWidth="1"/>
    <col min="55" max="55" width="24.88671875" bestFit="1" customWidth="1"/>
    <col min="56" max="56" width="26" bestFit="1" customWidth="1"/>
    <col min="57" max="57" width="11" customWidth="1"/>
    <col min="58" max="58" width="19.5546875" customWidth="1"/>
    <col min="59" max="59" width="14.6640625" bestFit="1" customWidth="1"/>
    <col min="60" max="60" width="12.44140625" bestFit="1" customWidth="1"/>
    <col min="61" max="61" width="13.33203125" bestFit="1" customWidth="1"/>
    <col min="62" max="62" width="14.44140625" bestFit="1" customWidth="1"/>
    <col min="63" max="63" width="18.88671875" bestFit="1" customWidth="1"/>
    <col min="64" max="64" width="11" customWidth="1"/>
    <col min="65" max="65" width="17.5546875" customWidth="1"/>
  </cols>
  <sheetData>
    <row r="1" spans="1:65" ht="15" thickBot="1" x14ac:dyDescent="0.35">
      <c r="A1" t="s">
        <v>127</v>
      </c>
      <c r="B1" t="s">
        <v>141</v>
      </c>
      <c r="C1" s="21" t="s">
        <v>126</v>
      </c>
      <c r="D1" s="22" t="s">
        <v>213</v>
      </c>
      <c r="E1" s="22" t="s">
        <v>214</v>
      </c>
      <c r="F1" s="22" t="s">
        <v>215</v>
      </c>
      <c r="G1" s="22" t="s">
        <v>216</v>
      </c>
      <c r="H1" s="22" t="s">
        <v>217</v>
      </c>
      <c r="I1" s="22" t="s">
        <v>218</v>
      </c>
      <c r="J1" s="22" t="s">
        <v>129</v>
      </c>
      <c r="K1" s="23" t="s">
        <v>219</v>
      </c>
      <c r="L1" s="21" t="s">
        <v>130</v>
      </c>
      <c r="M1" s="12" t="s">
        <v>220</v>
      </c>
      <c r="N1" s="12" t="s">
        <v>221</v>
      </c>
      <c r="O1" s="12" t="s">
        <v>222</v>
      </c>
      <c r="P1" s="12" t="s">
        <v>223</v>
      </c>
      <c r="Q1" s="12" t="s">
        <v>224</v>
      </c>
      <c r="R1" s="12" t="s">
        <v>225</v>
      </c>
      <c r="S1" s="12" t="s">
        <v>226</v>
      </c>
      <c r="T1" s="12" t="s">
        <v>227</v>
      </c>
      <c r="U1" s="12" t="s">
        <v>17</v>
      </c>
      <c r="V1" s="21" t="s">
        <v>228</v>
      </c>
      <c r="W1" s="21" t="s">
        <v>229</v>
      </c>
      <c r="X1" s="21" t="s">
        <v>131</v>
      </c>
      <c r="Y1" s="23" t="s">
        <v>230</v>
      </c>
      <c r="Z1" s="12" t="s">
        <v>132</v>
      </c>
      <c r="AA1" s="12" t="s">
        <v>231</v>
      </c>
      <c r="AB1" s="12" t="s">
        <v>232</v>
      </c>
      <c r="AC1" s="12" t="s">
        <v>233</v>
      </c>
      <c r="AD1" s="24" t="s">
        <v>234</v>
      </c>
      <c r="AE1" s="24" t="s">
        <v>133</v>
      </c>
      <c r="AF1" s="23" t="s">
        <v>235</v>
      </c>
      <c r="AG1" s="12" t="s">
        <v>134</v>
      </c>
      <c r="AH1" s="21" t="s">
        <v>236</v>
      </c>
      <c r="AI1" s="21" t="s">
        <v>237</v>
      </c>
      <c r="AJ1" s="21" t="s">
        <v>238</v>
      </c>
      <c r="AK1" s="21" t="s">
        <v>239</v>
      </c>
      <c r="AL1" s="21" t="s">
        <v>135</v>
      </c>
      <c r="AM1" s="21" t="s">
        <v>240</v>
      </c>
      <c r="AN1" s="21" t="s">
        <v>241</v>
      </c>
      <c r="AO1" s="21" t="s">
        <v>136</v>
      </c>
      <c r="AP1" s="23" t="s">
        <v>128</v>
      </c>
      <c r="AQ1" s="12" t="s">
        <v>137</v>
      </c>
      <c r="AR1" s="21" t="s">
        <v>242</v>
      </c>
      <c r="AS1" s="21" t="s">
        <v>243</v>
      </c>
      <c r="AT1" s="12" t="s">
        <v>244</v>
      </c>
      <c r="AU1" s="12" t="s">
        <v>245</v>
      </c>
      <c r="AV1" s="12" t="s">
        <v>246</v>
      </c>
      <c r="AW1" s="12" t="s">
        <v>247</v>
      </c>
      <c r="AX1" s="12" t="s">
        <v>39</v>
      </c>
      <c r="AY1" s="12" t="s">
        <v>138</v>
      </c>
      <c r="AZ1" s="23" t="s">
        <v>248</v>
      </c>
      <c r="BA1" s="12" t="s">
        <v>249</v>
      </c>
      <c r="BB1" s="12" t="s">
        <v>250</v>
      </c>
      <c r="BC1" s="12" t="s">
        <v>251</v>
      </c>
      <c r="BD1" s="12" t="s">
        <v>252</v>
      </c>
      <c r="BE1" s="12" t="s">
        <v>139</v>
      </c>
      <c r="BF1" s="23" t="s">
        <v>253</v>
      </c>
      <c r="BG1" s="12" t="s">
        <v>254</v>
      </c>
      <c r="BH1" s="12" t="s">
        <v>255</v>
      </c>
      <c r="BI1" s="12" t="s">
        <v>256</v>
      </c>
      <c r="BJ1" s="12" t="s">
        <v>257</v>
      </c>
      <c r="BK1" s="12" t="s">
        <v>258</v>
      </c>
      <c r="BL1" s="12" t="s">
        <v>140</v>
      </c>
      <c r="BM1" s="23" t="s">
        <v>259</v>
      </c>
    </row>
    <row r="2" spans="1:65" ht="15" thickBot="1" x14ac:dyDescent="0.35">
      <c r="A2">
        <v>171</v>
      </c>
      <c r="B2" t="s">
        <v>212</v>
      </c>
      <c r="C2" s="26" t="s">
        <v>48</v>
      </c>
      <c r="D2" s="2">
        <f>+GETPIVOTDATA("ADJBAL",[2]AGTRAXDATA!$F$1,"BRANCH_NUMBER",171,"COMMODITY_CODE","01")/60</f>
        <v>489983.51666666666</v>
      </c>
      <c r="E2" s="2">
        <f>+GETPIVOTDATA("ADJBAL",[2]AGTRAXDATA!$F$1,"BRANCH_NUMBER",171,"COMMODITY_CODE","02")/56</f>
        <v>0</v>
      </c>
      <c r="F2" s="2">
        <f>+GETPIVOTDATA("ADJBAL",[2]AGTRAXDATA!$F$1,"BRANCH_NUMBER",171,"COMMODITY_CODE","04")/56</f>
        <v>0</v>
      </c>
      <c r="G2" s="2">
        <f>+GETPIVOTDATA("ADJBAL",[2]AGTRAXDATA!$F$1,"BRANCH_NUMBER",171,"COMMODITY_CODE","03")/60</f>
        <v>0</v>
      </c>
      <c r="H2" s="2">
        <f>+GETPIVOTDATA("ADJBAL",[2]AGTRAXDATA!$F$1,"BRANCH_NUMBER",171,"COMMODITY_CODE","22")/25</f>
        <v>0</v>
      </c>
      <c r="I2" s="3">
        <v>0</v>
      </c>
      <c r="J2" s="3"/>
      <c r="K2" s="4">
        <f t="shared" ref="K2:K33" si="0">SUM(D2:I2)</f>
        <v>489983.51666666666</v>
      </c>
      <c r="L2" s="5"/>
      <c r="M2" s="2">
        <f>+GETPIVOTDATA("LBS_UPDATED",[2]SALESCONTRACTS!$E$1,"BRANCH_NUMBER",171,"COMMODITY_CODE","01")/60</f>
        <v>0</v>
      </c>
      <c r="N2" s="2">
        <f>+GETPIVOTDATA("LBS_UPDATED",[2]SALESCONTRACTS!$E$1,"BRANCH_NUMBER",171,"COMMODITY_CODE","02")/56</f>
        <v>0</v>
      </c>
      <c r="O2" s="2">
        <f>+GETPIVOTDATA("LBS_UPDATED",[2]SALESCONTRACTS!$E$1,"BRANCH_NUMBER",171,"COMMODITY_CODE","04")/56</f>
        <v>0</v>
      </c>
      <c r="P2" s="2">
        <f>+GETPIVOTDATA("LBS_UPDATED",[2]SALESCONTRACTS!$E$1,"BRANCH_NUMBER",171,"COMMODITY_CODE","03")/60</f>
        <v>0</v>
      </c>
      <c r="Q2" s="2">
        <f>+GETPIVOTDATA("LBS_UPDATED",[2]SALESCONTRACTS!$E$1,"BRANCH_NUMBER",171,"COMMODITY_CODE","22")/25</f>
        <v>0</v>
      </c>
      <c r="R2" s="5"/>
      <c r="S2" s="5"/>
      <c r="T2" s="5"/>
      <c r="U2" s="5"/>
      <c r="V2" s="30"/>
      <c r="W2" s="30"/>
      <c r="X2" s="7"/>
      <c r="Y2" s="4">
        <f t="shared" ref="Y2:Y33" si="1">K2-M2-N2-O2-P2-Q2-R2-S2-T2-U2-V2-W2</f>
        <v>489983.51666666666</v>
      </c>
      <c r="Z2" s="5"/>
      <c r="AA2" s="5">
        <v>243000</v>
      </c>
      <c r="AB2" s="5">
        <v>276300</v>
      </c>
      <c r="AC2" s="5">
        <v>0</v>
      </c>
      <c r="AD2" s="8">
        <f t="shared" ref="AD2:AD33" si="2">SUM(AA2:AC2)-K2</f>
        <v>29316.483333333337</v>
      </c>
      <c r="AE2" s="8"/>
      <c r="AF2" s="4">
        <f t="shared" ref="AF2:AF33" si="3">AA2+AB2-Y2</f>
        <v>29316.483333333337</v>
      </c>
      <c r="AG2" s="5"/>
      <c r="AH2" s="32"/>
      <c r="AI2" s="32"/>
      <c r="AJ2" s="34"/>
      <c r="AK2" s="30"/>
      <c r="AL2" s="7"/>
      <c r="AM2" s="35">
        <v>55000</v>
      </c>
      <c r="AN2" s="30"/>
      <c r="AO2" s="7"/>
      <c r="AP2" s="4">
        <f t="shared" ref="AP2:AP33" si="4">AF2-AH2-AI2-AJ2-AK2-AM2-AN2</f>
        <v>-25683.516666666663</v>
      </c>
      <c r="AQ2" s="12"/>
      <c r="AR2" s="13"/>
      <c r="AS2" s="13"/>
      <c r="AT2" s="14"/>
      <c r="AU2" s="14"/>
      <c r="AV2" s="14"/>
      <c r="AW2" s="14"/>
      <c r="AX2" s="14"/>
      <c r="AY2" s="16"/>
      <c r="AZ2" s="4">
        <f t="shared" ref="AZ2:AZ33" si="5">SUM(AP2:AX2)</f>
        <v>-25683.516666666663</v>
      </c>
      <c r="BA2" s="14"/>
      <c r="BB2" s="42"/>
      <c r="BC2" s="14"/>
      <c r="BD2" s="14"/>
      <c r="BE2" s="16"/>
      <c r="BF2" s="4">
        <f t="shared" ref="BF2:BF33" si="6">SUM(AZ2:BD2)</f>
        <v>-25683.516666666663</v>
      </c>
      <c r="BG2" s="18">
        <v>55000</v>
      </c>
      <c r="BH2" s="52"/>
      <c r="BI2" s="17"/>
      <c r="BJ2" s="18"/>
      <c r="BK2" s="18"/>
      <c r="BL2" s="19"/>
      <c r="BM2" s="20">
        <f t="shared" ref="BM2:BM33" si="7">SUM(BF2:BK2)</f>
        <v>29316.483333333337</v>
      </c>
    </row>
    <row r="3" spans="1:65" ht="15" thickBot="1" x14ac:dyDescent="0.35">
      <c r="A3">
        <v>101</v>
      </c>
      <c r="B3" t="s">
        <v>211</v>
      </c>
      <c r="C3" s="1" t="s">
        <v>49</v>
      </c>
      <c r="D3" s="2">
        <f>+GETPIVOTDATA("ADJBAL",[2]AGTRAXDATA!$F$1,"BRANCH_NUMBER",101,"COMMODITY_CODE","01")/60</f>
        <v>99777.333333333328</v>
      </c>
      <c r="E3" s="2">
        <f>+GETPIVOTDATA("ADJBAL",[2]AGTRAXDATA!$F$1,"BRANCH_NUMBER",101,"COMMODITY_CODE","02")/56</f>
        <v>0</v>
      </c>
      <c r="F3" s="2">
        <f>+GETPIVOTDATA("ADJBAL",[2]AGTRAXDATA!$F$1,"BRANCH_NUMBER",101,"COMMODITY_CODE","04")/56</f>
        <v>0</v>
      </c>
      <c r="G3" s="2">
        <f>+GETPIVOTDATA("ADJBAL",[2]AGTRAXDATA!$F$1,"BRANCH_NUMBER",101,"COMMODITY_CODE","03")/60</f>
        <v>0</v>
      </c>
      <c r="H3" s="2">
        <f>+GETPIVOTDATA("ADJBAL",[2]AGTRAXDATA!$F$1,"BRANCH_NUMBER",101,"COMMODITY_CODE","22")/25</f>
        <v>0</v>
      </c>
      <c r="I3" s="3">
        <v>0</v>
      </c>
      <c r="J3" s="3"/>
      <c r="K3" s="4">
        <f t="shared" si="0"/>
        <v>99777.333333333328</v>
      </c>
      <c r="L3" s="5"/>
      <c r="M3" s="2">
        <f>+GETPIVOTDATA("LBS_UPDATED",[2]SALESCONTRACTS!$E$1,"BRANCH_NUMBER",101,"COMMODITY_CODE","01")/60</f>
        <v>153.33333333333334</v>
      </c>
      <c r="N3" s="2">
        <f>+GETPIVOTDATA("LBS_UPDATED",[2]SALESCONTRACTS!$E$1,"BRANCH_NUMBER",101,"COMMODITY_CODE","02")/56</f>
        <v>0</v>
      </c>
      <c r="O3" s="2">
        <f>+GETPIVOTDATA("LBS_UPDATED",[2]SALESCONTRACTS!$E$1,"BRANCH_NUMBER",101,"COMMODITY_CODE","04")/56</f>
        <v>0</v>
      </c>
      <c r="P3" s="2">
        <f>+GETPIVOTDATA("LBS_UPDATED",[2]SALESCONTRACTS!$E$1,"BRANCH_NUMBER",101,"COMMODITY_CODE","03")/60</f>
        <v>0</v>
      </c>
      <c r="Q3" s="2">
        <f>+GETPIVOTDATA("LBS_UPDATED",[2]SALESCONTRACTS!$E$1,"BRANCH_NUMBER",101,"COMMODITY_CODE","22")/25</f>
        <v>0</v>
      </c>
      <c r="R3" s="5"/>
      <c r="S3" s="5"/>
      <c r="T3" s="5"/>
      <c r="U3" s="5"/>
      <c r="V3" s="6"/>
      <c r="W3" s="6"/>
      <c r="X3" s="7"/>
      <c r="Y3" s="4">
        <f t="shared" si="1"/>
        <v>99624</v>
      </c>
      <c r="Z3" s="5"/>
      <c r="AA3" s="5">
        <v>259200</v>
      </c>
      <c r="AB3" s="5"/>
      <c r="AC3" s="5"/>
      <c r="AD3" s="8">
        <f t="shared" si="2"/>
        <v>159422.66666666669</v>
      </c>
      <c r="AE3" s="8"/>
      <c r="AF3" s="4">
        <f t="shared" si="3"/>
        <v>159576</v>
      </c>
      <c r="AG3" s="5"/>
      <c r="AH3" s="9"/>
      <c r="AI3" s="9"/>
      <c r="AJ3" s="10"/>
      <c r="AK3" s="6"/>
      <c r="AL3" s="7"/>
      <c r="AM3" s="11">
        <v>150000</v>
      </c>
      <c r="AN3" s="6"/>
      <c r="AO3" s="7"/>
      <c r="AP3" s="4">
        <f t="shared" si="4"/>
        <v>9576</v>
      </c>
      <c r="AQ3" s="12"/>
      <c r="AR3" s="13"/>
      <c r="AS3" s="13"/>
      <c r="AT3" s="14"/>
      <c r="AU3" s="14"/>
      <c r="AV3" s="14"/>
      <c r="AW3" s="14"/>
      <c r="AX3" s="14"/>
      <c r="AY3" s="16"/>
      <c r="AZ3" s="4">
        <f t="shared" si="5"/>
        <v>9576</v>
      </c>
      <c r="BA3" s="18"/>
      <c r="BB3" s="42"/>
      <c r="BC3" s="14"/>
      <c r="BD3" s="14"/>
      <c r="BE3" s="16"/>
      <c r="BF3" s="4">
        <f t="shared" si="6"/>
        <v>9576</v>
      </c>
      <c r="BG3" s="13"/>
      <c r="BH3" s="52"/>
      <c r="BI3" s="17"/>
      <c r="BJ3" s="18"/>
      <c r="BK3" s="18"/>
      <c r="BL3" s="19"/>
      <c r="BM3" s="20">
        <f t="shared" si="7"/>
        <v>9576</v>
      </c>
    </row>
    <row r="4" spans="1:65" ht="15" thickBot="1" x14ac:dyDescent="0.35">
      <c r="A4">
        <v>21</v>
      </c>
      <c r="B4" t="s">
        <v>210</v>
      </c>
      <c r="C4" s="1" t="s">
        <v>50</v>
      </c>
      <c r="D4" s="2">
        <f>+GETPIVOTDATA("ADJBAL",[2]AGTRAXDATA!$F$1,"BRANCH_NUMBER",21,"COMMODITY_CODE","01")/60</f>
        <v>206366.28333333333</v>
      </c>
      <c r="E4" s="2">
        <f>+GETPIVOTDATA("ADJBAL",[2]AGTRAXDATA!$F$1,"BRANCH_NUMBER",21,"COMMODITY_CODE","02")/56</f>
        <v>27611.035714285714</v>
      </c>
      <c r="F4" s="2">
        <f>+GETPIVOTDATA("ADJBAL",[2]AGTRAXDATA!$F$1,"BRANCH_NUMBER",21,"COMMODITY_CODE","04")/56</f>
        <v>156541.17857142858</v>
      </c>
      <c r="G4" s="2">
        <f>+GETPIVOTDATA("ADJBAL",[2]AGTRAXDATA!$F$1,"BRANCH_NUMBER",21,"COMMODITY_CODE","03")/60</f>
        <v>105243.66666666667</v>
      </c>
      <c r="H4" s="2">
        <f>+GETPIVOTDATA("ADJBAL",[2]AGTRAXDATA!$F$1,"BRANCH_NUMBER",21,"COMMODITY_CODE","22")/25</f>
        <v>0</v>
      </c>
      <c r="I4" s="3">
        <v>0</v>
      </c>
      <c r="J4" s="28"/>
      <c r="K4" s="4">
        <f t="shared" si="0"/>
        <v>495762.16428571433</v>
      </c>
      <c r="L4" s="5"/>
      <c r="M4" s="2">
        <f>+GETPIVOTDATA("LBS_UPDATED",[2]SALESCONTRACTS!$E$1,"BRANCH_NUMBER",21,"COMMODITY_CODE","01")/60</f>
        <v>0</v>
      </c>
      <c r="N4" s="2">
        <f>+GETPIVOTDATA("LBS_UPDATED",[2]SALESCONTRACTS!$E$1,"BRANCH_NUMBER",21,"COMMODITY_CODE","02")/56</f>
        <v>0</v>
      </c>
      <c r="O4" s="2">
        <f>+GETPIVOTDATA("LBS_UPDATED",[2]SALESCONTRACTS!$E$1,"BRANCH_NUMBER",21,"COMMODITY_CODE","04")/56</f>
        <v>0</v>
      </c>
      <c r="P4" s="2">
        <f>+GETPIVOTDATA("LBS_UPDATED",[2]SALESCONTRACTS!$E$1,"BRANCH_NUMBER",21,"COMMODITY_CODE","03")/60</f>
        <v>0</v>
      </c>
      <c r="Q4" s="2">
        <f>+GETPIVOTDATA("LBS_UPDATED",[2]SALESCONTRACTS!$E$1,"BRANCH_NUMBER",21,"COMMODITY_CODE","22")/25</f>
        <v>0</v>
      </c>
      <c r="R4" s="5"/>
      <c r="S4" s="5"/>
      <c r="T4" s="5"/>
      <c r="U4" s="5"/>
      <c r="V4" s="6"/>
      <c r="W4" s="6"/>
      <c r="X4" s="7"/>
      <c r="Y4" s="4">
        <f t="shared" si="1"/>
        <v>495762.16428571433</v>
      </c>
      <c r="Z4" s="5"/>
      <c r="AA4" s="5">
        <v>651600</v>
      </c>
      <c r="AB4" s="5"/>
      <c r="AC4" s="5"/>
      <c r="AD4" s="8">
        <f t="shared" si="2"/>
        <v>155837.83571428567</v>
      </c>
      <c r="AE4" s="8"/>
      <c r="AF4" s="4">
        <f t="shared" si="3"/>
        <v>155837.83571428567</v>
      </c>
      <c r="AG4" s="5"/>
      <c r="AH4" s="6"/>
      <c r="AI4" s="9"/>
      <c r="AJ4" s="10"/>
      <c r="AK4" s="6"/>
      <c r="AL4" s="7"/>
      <c r="AM4" s="11">
        <v>200000</v>
      </c>
      <c r="AN4" s="6"/>
      <c r="AO4" s="7"/>
      <c r="AP4" s="4">
        <f t="shared" si="4"/>
        <v>-44162.164285714331</v>
      </c>
      <c r="AQ4" s="12"/>
      <c r="AR4" s="13"/>
      <c r="AS4" s="13"/>
      <c r="AT4" s="14"/>
      <c r="AU4" s="43"/>
      <c r="AV4" s="14">
        <v>45000</v>
      </c>
      <c r="AW4" s="14"/>
      <c r="AX4" s="14"/>
      <c r="AY4" s="16"/>
      <c r="AZ4" s="4">
        <f t="shared" si="5"/>
        <v>837.83571428566938</v>
      </c>
      <c r="BA4" s="14"/>
      <c r="BB4" s="14"/>
      <c r="BC4" s="14"/>
      <c r="BD4" s="14"/>
      <c r="BE4" s="16"/>
      <c r="BF4" s="4">
        <f t="shared" si="6"/>
        <v>837.83571428566938</v>
      </c>
      <c r="BG4" s="18"/>
      <c r="BH4" s="14"/>
      <c r="BI4" s="14"/>
      <c r="BJ4" s="18"/>
      <c r="BK4" s="18"/>
      <c r="BL4" s="19"/>
      <c r="BM4" s="20">
        <f t="shared" si="7"/>
        <v>837.83571428566938</v>
      </c>
    </row>
    <row r="5" spans="1:65" ht="15" thickBot="1" x14ac:dyDescent="0.35">
      <c r="A5">
        <v>111</v>
      </c>
      <c r="B5" t="s">
        <v>209</v>
      </c>
      <c r="C5" s="1" t="s">
        <v>51</v>
      </c>
      <c r="D5" s="2">
        <f>+GETPIVOTDATA("ADJBAL",[2]AGTRAXDATA!$F$1,"BRANCH_NUMBER",111,"COMMODITY_CODE","01")/60</f>
        <v>16641.633333333335</v>
      </c>
      <c r="E5" s="2">
        <f>+GETPIVOTDATA("ADJBAL",[2]AGTRAXDATA!$F$1,"BRANCH_NUMBER",111,"COMMODITY_CODE","02")/56</f>
        <v>72585.053571428565</v>
      </c>
      <c r="F5" s="2">
        <f>+GETPIVOTDATA("ADJBAL",[2]AGTRAXDATA!$F$1,"BRANCH_NUMBER",111,"COMMODITY_CODE","04")/56</f>
        <v>181292.82142857142</v>
      </c>
      <c r="G5" s="2">
        <f>+GETPIVOTDATA("ADJBAL",[2]AGTRAXDATA!$F$1,"BRANCH_NUMBER",111,"COMMODITY_CODE","03")/60</f>
        <v>24438.416666666668</v>
      </c>
      <c r="H5" s="2">
        <f>+GETPIVOTDATA("ADJBAL",[2]AGTRAXDATA!$F$1,"BRANCH_NUMBER",111,"COMMODITY_CODE","22")/25</f>
        <v>0</v>
      </c>
      <c r="I5" s="3">
        <v>0</v>
      </c>
      <c r="J5" s="3"/>
      <c r="K5" s="4">
        <f t="shared" si="0"/>
        <v>294957.92499999999</v>
      </c>
      <c r="L5" s="5"/>
      <c r="M5" s="2">
        <f>+GETPIVOTDATA("LBS_UPDATED",[2]SALESCONTRACTS!$E$1,"BRANCH_NUMBER",111,"COMMODITY_CODE","01")/60</f>
        <v>0</v>
      </c>
      <c r="N5" s="2">
        <f>+GETPIVOTDATA("LBS_UPDATED",[2]SALESCONTRACTS!$E$1,"BRANCH_NUMBER",111,"COMMODITY_CODE","02")/56</f>
        <v>39973.571428571428</v>
      </c>
      <c r="O5" s="2">
        <f>+GETPIVOTDATA("LBS_UPDATED",[2]SALESCONTRACTS!$E$1,"BRANCH_NUMBER",111,"COMMODITY_CODE","04")/56</f>
        <v>120707.14285714286</v>
      </c>
      <c r="P5" s="2">
        <f>+GETPIVOTDATA("LBS_UPDATED",[2]SALESCONTRACTS!$E$1,"BRANCH_NUMBER",111,"COMMODITY_CODE","03")/60</f>
        <v>0</v>
      </c>
      <c r="Q5" s="2">
        <f>+GETPIVOTDATA("LBS_UPDATED",[2]SALESCONTRACTS!$E$1,"BRANCH_NUMBER",111,"COMMODITY_CODE","22")/25</f>
        <v>0</v>
      </c>
      <c r="R5" s="5"/>
      <c r="S5" s="5"/>
      <c r="T5" s="5"/>
      <c r="U5" s="5"/>
      <c r="V5" s="6"/>
      <c r="W5" s="6"/>
      <c r="X5" s="7"/>
      <c r="Y5" s="4">
        <f t="shared" si="1"/>
        <v>134277.21071428573</v>
      </c>
      <c r="Z5" s="5"/>
      <c r="AA5" s="5">
        <v>406200</v>
      </c>
      <c r="AB5" s="5"/>
      <c r="AC5" s="5"/>
      <c r="AD5" s="8">
        <f t="shared" si="2"/>
        <v>111242.07500000001</v>
      </c>
      <c r="AE5" s="8"/>
      <c r="AF5" s="4">
        <f t="shared" si="3"/>
        <v>271922.78928571427</v>
      </c>
      <c r="AG5" s="5"/>
      <c r="AH5" s="9"/>
      <c r="AI5" s="9"/>
      <c r="AJ5" s="10"/>
      <c r="AK5" s="6"/>
      <c r="AL5" s="7"/>
      <c r="AM5" s="11">
        <v>400000</v>
      </c>
      <c r="AN5" s="6"/>
      <c r="AO5" s="7"/>
      <c r="AP5" s="4">
        <f t="shared" si="4"/>
        <v>-128077.21071428573</v>
      </c>
      <c r="AQ5" s="12"/>
      <c r="AR5" s="13"/>
      <c r="AS5" s="13"/>
      <c r="AT5" s="14"/>
      <c r="AU5" s="43"/>
      <c r="AV5" s="14">
        <v>170000</v>
      </c>
      <c r="AW5" s="14"/>
      <c r="AX5" s="14"/>
      <c r="AY5" s="16"/>
      <c r="AZ5" s="4">
        <f t="shared" si="5"/>
        <v>41922.789285714272</v>
      </c>
      <c r="BA5" s="14"/>
      <c r="BB5" s="42"/>
      <c r="BC5" s="14"/>
      <c r="BD5" s="14"/>
      <c r="BE5" s="16"/>
      <c r="BF5" s="4">
        <f t="shared" si="6"/>
        <v>41922.789285714272</v>
      </c>
      <c r="BG5" s="14"/>
      <c r="BH5" s="14">
        <v>33000</v>
      </c>
      <c r="BI5" s="14"/>
      <c r="BJ5" s="14">
        <v>25000</v>
      </c>
      <c r="BK5" s="18"/>
      <c r="BL5" s="19"/>
      <c r="BM5" s="20">
        <f t="shared" si="7"/>
        <v>99922.789285714272</v>
      </c>
    </row>
    <row r="6" spans="1:65" ht="15" thickBot="1" x14ac:dyDescent="0.35">
      <c r="A6">
        <v>131</v>
      </c>
      <c r="B6" t="s">
        <v>208</v>
      </c>
      <c r="C6" s="1" t="s">
        <v>52</v>
      </c>
      <c r="D6" s="2">
        <f>+GETPIVOTDATA("ADJBAL",[2]AGTRAXDATA!$F$1,"BRANCH_NUMBER",131,"COMMODITY_CODE","01")/60</f>
        <v>207353.2</v>
      </c>
      <c r="E6" s="2">
        <f>+GETPIVOTDATA("ADJBAL",[2]AGTRAXDATA!$F$1,"BRANCH_NUMBER",131,"COMMODITY_CODE","02")/56</f>
        <v>0</v>
      </c>
      <c r="F6" s="2">
        <f>+GETPIVOTDATA("ADJBAL",[2]AGTRAXDATA!$F$1,"BRANCH_NUMBER",131,"COMMODITY_CODE","04")/56</f>
        <v>0</v>
      </c>
      <c r="G6" s="2">
        <f>+GETPIVOTDATA("ADJBAL",[2]AGTRAXDATA!$F$1,"BRANCH_NUMBER",131,"COMMODITY_CODE","03")/60</f>
        <v>0</v>
      </c>
      <c r="H6" s="2">
        <f>+GETPIVOTDATA("ADJBAL",[2]AGTRAXDATA!$F$1,"BRANCH_NUMBER",131,"COMMODITY_CODE","22")/25</f>
        <v>0</v>
      </c>
      <c r="I6" s="3">
        <v>0</v>
      </c>
      <c r="J6" s="3"/>
      <c r="K6" s="4">
        <f t="shared" si="0"/>
        <v>207353.2</v>
      </c>
      <c r="L6" s="5"/>
      <c r="M6" s="2">
        <f>+GETPIVOTDATA("LBS_UPDATED",[2]SALESCONTRACTS!$E$1,"BRANCH_NUMBER",131,"COMMODITY_CODE","01")/60</f>
        <v>0</v>
      </c>
      <c r="N6" s="2">
        <f>+GETPIVOTDATA("LBS_UPDATED",[2]SALESCONTRACTS!$E$1,"BRANCH_NUMBER",131,"COMMODITY_CODE","02")/56</f>
        <v>0</v>
      </c>
      <c r="O6" s="2">
        <f>+GETPIVOTDATA("LBS_UPDATED",[2]SALESCONTRACTS!$E$1,"BRANCH_NUMBER",131,"COMMODITY_CODE","04")/56</f>
        <v>0</v>
      </c>
      <c r="P6" s="2">
        <f>+GETPIVOTDATA("LBS_UPDATED",[2]SALESCONTRACTS!$E$1,"BRANCH_NUMBER",131,"COMMODITY_CODE","03")/60</f>
        <v>0</v>
      </c>
      <c r="Q6" s="2">
        <f>+GETPIVOTDATA("LBS_UPDATED",[2]SALESCONTRACTS!$E$1,"BRANCH_NUMBER",131,"COMMODITY_CODE","22")/25</f>
        <v>0</v>
      </c>
      <c r="R6" s="5"/>
      <c r="S6" s="5"/>
      <c r="T6" s="5"/>
      <c r="U6" s="5"/>
      <c r="V6" s="6"/>
      <c r="W6" s="6"/>
      <c r="X6" s="7"/>
      <c r="Y6" s="4">
        <f t="shared" si="1"/>
        <v>207353.2</v>
      </c>
      <c r="Z6" s="5"/>
      <c r="AA6" s="5">
        <v>106200</v>
      </c>
      <c r="AB6" s="5">
        <v>126000</v>
      </c>
      <c r="AC6" s="5"/>
      <c r="AD6" s="8">
        <f t="shared" si="2"/>
        <v>24846.799999999988</v>
      </c>
      <c r="AE6" s="8"/>
      <c r="AF6" s="4">
        <f t="shared" si="3"/>
        <v>24846.799999999988</v>
      </c>
      <c r="AG6" s="5"/>
      <c r="AH6" s="9"/>
      <c r="AI6" s="9"/>
      <c r="AJ6" s="10"/>
      <c r="AK6" s="6"/>
      <c r="AL6" s="7"/>
      <c r="AM6" s="11"/>
      <c r="AN6" s="6"/>
      <c r="AO6" s="7"/>
      <c r="AP6" s="4">
        <f t="shared" si="4"/>
        <v>24846.799999999988</v>
      </c>
      <c r="AQ6" s="12"/>
      <c r="AR6" s="13"/>
      <c r="AS6" s="13"/>
      <c r="AT6" s="14"/>
      <c r="AU6" s="14"/>
      <c r="AV6" s="14"/>
      <c r="AW6" s="14"/>
      <c r="AX6" s="14"/>
      <c r="AY6" s="16"/>
      <c r="AZ6" s="4">
        <f t="shared" si="5"/>
        <v>24846.799999999988</v>
      </c>
      <c r="BA6" s="14"/>
      <c r="BB6" s="14"/>
      <c r="BC6" s="14"/>
      <c r="BD6" s="14"/>
      <c r="BE6" s="16"/>
      <c r="BF6" s="4">
        <f t="shared" si="6"/>
        <v>24846.799999999988</v>
      </c>
      <c r="BG6" s="18"/>
      <c r="BH6" s="18"/>
      <c r="BI6" s="17"/>
      <c r="BJ6" s="18"/>
      <c r="BK6" s="18"/>
      <c r="BL6" s="19"/>
      <c r="BM6" s="20">
        <f t="shared" si="7"/>
        <v>24846.799999999988</v>
      </c>
    </row>
    <row r="7" spans="1:65" ht="15" thickBot="1" x14ac:dyDescent="0.35">
      <c r="A7">
        <v>191</v>
      </c>
      <c r="B7" t="s">
        <v>206</v>
      </c>
      <c r="C7" s="1" t="s">
        <v>53</v>
      </c>
      <c r="D7" s="2">
        <f>+GETPIVOTDATA("ADJBAL",[2]AGTRAXDATA!$F$1,"BRANCH_NUMBER",191,"COMMODITY_CODE","01")/60</f>
        <v>434087.46666666667</v>
      </c>
      <c r="E7" s="2">
        <f>+GETPIVOTDATA("ADJBAL",[2]AGTRAXDATA!$F$1,"BRANCH_NUMBER",191,"COMMODITY_CODE","02")/56</f>
        <v>0</v>
      </c>
      <c r="F7" s="2">
        <f>+GETPIVOTDATA("ADJBAL",[2]AGTRAXDATA!$F$1,"BRANCH_NUMBER",191,"COMMODITY_CODE","04")/56</f>
        <v>206347</v>
      </c>
      <c r="G7" s="2">
        <f>+GETPIVOTDATA("ADJBAL",[2]AGTRAXDATA!$F$1,"BRANCH_NUMBER",191,"COMMODITY_CODE","03")/60</f>
        <v>212033.8</v>
      </c>
      <c r="H7" s="2">
        <f>+GETPIVOTDATA("ADJBAL",[2]AGTRAXDATA!$F$1,"BRANCH_NUMBER",191,"COMMODITY_CODE","22")/25</f>
        <v>0</v>
      </c>
      <c r="I7" s="3"/>
      <c r="J7" s="3"/>
      <c r="K7" s="4">
        <f t="shared" si="0"/>
        <v>852468.2666666666</v>
      </c>
      <c r="L7" s="5"/>
      <c r="M7" s="2">
        <f>+GETPIVOTDATA("LBS_UPDATED",[2]SALESCONTRACTS!$E$1,"BRANCH_NUMBER",191,"COMMODITY_CODE","01")/60</f>
        <v>0</v>
      </c>
      <c r="N7" s="2">
        <f>+GETPIVOTDATA("LBS_UPDATED",[2]SALESCONTRACTS!$E$1,"BRANCH_NUMBER",191,"COMMODITY_CODE","02")/56</f>
        <v>0</v>
      </c>
      <c r="O7" s="2">
        <f>+GETPIVOTDATA("LBS_UPDATED",[2]SALESCONTRACTS!$E$1,"BRANCH_NUMBER",191,"COMMODITY_CODE","04")/56</f>
        <v>0</v>
      </c>
      <c r="P7" s="2">
        <f>+GETPIVOTDATA("LBS_UPDATED",[2]SALESCONTRACTS!$E$1,"BRANCH_NUMBER",191,"COMMODITY_CODE","03")/60</f>
        <v>5749.5</v>
      </c>
      <c r="Q7" s="2">
        <f>+GETPIVOTDATA("LBS_UPDATED",[2]SALESCONTRACTS!$E$1,"BRANCH_NUMBER",191,"COMMODITY_CODE","22")/25</f>
        <v>0</v>
      </c>
      <c r="R7" s="5"/>
      <c r="S7" s="5"/>
      <c r="T7" s="5"/>
      <c r="U7" s="5"/>
      <c r="V7" s="6"/>
      <c r="W7" s="6"/>
      <c r="X7" s="7"/>
      <c r="Y7" s="4">
        <f t="shared" si="1"/>
        <v>846718.7666666666</v>
      </c>
      <c r="Z7" s="5"/>
      <c r="AA7" s="5">
        <v>1015000</v>
      </c>
      <c r="AB7" s="5">
        <v>85500</v>
      </c>
      <c r="AC7" s="5"/>
      <c r="AD7" s="8">
        <f t="shared" si="2"/>
        <v>248031.7333333334</v>
      </c>
      <c r="AE7" s="8"/>
      <c r="AF7" s="4">
        <f t="shared" si="3"/>
        <v>253781.2333333334</v>
      </c>
      <c r="AG7" s="5"/>
      <c r="AH7" s="9"/>
      <c r="AI7" s="9"/>
      <c r="AJ7" s="10"/>
      <c r="AK7" s="6"/>
      <c r="AL7" s="7"/>
      <c r="AM7" s="11">
        <v>525000</v>
      </c>
      <c r="AN7" s="6"/>
      <c r="AO7" s="7"/>
      <c r="AP7" s="4">
        <f t="shared" si="4"/>
        <v>-271218.7666666666</v>
      </c>
      <c r="AQ7" s="12"/>
      <c r="AR7" s="13"/>
      <c r="AS7" s="13"/>
      <c r="AT7" s="14"/>
      <c r="AU7" s="14"/>
      <c r="AV7" s="14"/>
      <c r="AW7" s="14"/>
      <c r="AX7" s="14"/>
      <c r="AY7" s="16"/>
      <c r="AZ7" s="4">
        <f t="shared" si="5"/>
        <v>-271218.7666666666</v>
      </c>
      <c r="BA7" s="14"/>
      <c r="BB7" s="14"/>
      <c r="BC7" s="42">
        <v>206000</v>
      </c>
      <c r="BD7" s="14"/>
      <c r="BE7" s="16"/>
      <c r="BF7" s="4">
        <f t="shared" si="6"/>
        <v>-65218.766666666605</v>
      </c>
      <c r="BG7" s="18"/>
      <c r="BH7" s="14"/>
      <c r="BI7" s="25"/>
      <c r="BJ7" s="56">
        <v>65000</v>
      </c>
      <c r="BK7" s="18"/>
      <c r="BL7" s="19"/>
      <c r="BM7" s="20">
        <f t="shared" si="7"/>
        <v>-218.76666666660458</v>
      </c>
    </row>
    <row r="8" spans="1:65" ht="15" thickBot="1" x14ac:dyDescent="0.35">
      <c r="A8">
        <v>190</v>
      </c>
      <c r="B8" t="s">
        <v>207</v>
      </c>
      <c r="C8" s="1" t="s">
        <v>54</v>
      </c>
      <c r="D8" s="2">
        <f>+GETPIVOTDATA("ADJBAL",[2]AGTRAXDATA!$F$1,"BRANCH_NUMBER",190,"COMMODITY_CODE","01")/60</f>
        <v>782976</v>
      </c>
      <c r="E8" s="2">
        <f>+GETPIVOTDATA("ADJBAL",[2]AGTRAXDATA!$F$1,"BRANCH_NUMBER",190,"COMMODITY_CODE","02")/56</f>
        <v>0</v>
      </c>
      <c r="F8" s="2">
        <f>+GETPIVOTDATA("ADJBAL",[2]AGTRAXDATA!$F$1,"BRANCH_NUMBER",190,"COMMODITY_CODE","04")/56</f>
        <v>0</v>
      </c>
      <c r="G8" s="2">
        <f>+GETPIVOTDATA("ADJBAL",[2]AGTRAXDATA!$F$1,"BRANCH_NUMBER",190,"COMMODITY_CODE","03")/60</f>
        <v>0</v>
      </c>
      <c r="H8" s="2">
        <f>+GETPIVOTDATA("ADJBAL",[2]AGTRAXDATA!$F$1,"BRANCH_NUMBER",190,"COMMODITY_CODE","22")/25</f>
        <v>0</v>
      </c>
      <c r="I8" s="3">
        <v>0</v>
      </c>
      <c r="J8" s="3"/>
      <c r="K8" s="4">
        <f t="shared" si="0"/>
        <v>782976</v>
      </c>
      <c r="L8" s="5"/>
      <c r="M8" s="2">
        <f>+GETPIVOTDATA("LBS_UPDATED",[2]SALESCONTRACTS!$E$1,"BRANCH_NUMBER",190,"COMMODITY_CODE","01")/60</f>
        <v>0</v>
      </c>
      <c r="N8" s="2">
        <f>+GETPIVOTDATA("LBS_UPDATED",[2]SALESCONTRACTS!$E$1,"BRANCH_NUMBER",190,"COMMODITY_CODE","02")/56</f>
        <v>0</v>
      </c>
      <c r="O8" s="2">
        <f>+GETPIVOTDATA("LBS_UPDATED",[2]SALESCONTRACTS!$E$1,"BRANCH_NUMBER",190,"COMMODITY_CODE","04")/56</f>
        <v>0</v>
      </c>
      <c r="P8" s="2">
        <f>+GETPIVOTDATA("LBS_UPDATED",[2]SALESCONTRACTS!$E$1,"BRANCH_NUMBER",190,"COMMODITY_CODE","03")/60</f>
        <v>0</v>
      </c>
      <c r="Q8" s="2">
        <f>+GETPIVOTDATA("LBS_UPDATED",[2]SALESCONTRACTS!$E$1,"BRANCH_NUMBER",190,"COMMODITY_CODE","22")/25</f>
        <v>0</v>
      </c>
      <c r="R8" s="5"/>
      <c r="S8" s="5"/>
      <c r="T8" s="5"/>
      <c r="U8" s="5"/>
      <c r="V8" s="6"/>
      <c r="W8" s="6"/>
      <c r="X8" s="7"/>
      <c r="Y8" s="4">
        <f t="shared" si="1"/>
        <v>782976</v>
      </c>
      <c r="Z8" s="5"/>
      <c r="AA8" s="5"/>
      <c r="AB8" s="5">
        <v>800000</v>
      </c>
      <c r="AC8" s="5"/>
      <c r="AD8" s="8">
        <f t="shared" si="2"/>
        <v>17024</v>
      </c>
      <c r="AE8" s="8"/>
      <c r="AF8" s="4">
        <f t="shared" si="3"/>
        <v>17024</v>
      </c>
      <c r="AG8" s="5"/>
      <c r="AH8" s="9"/>
      <c r="AI8" s="9"/>
      <c r="AJ8" s="10"/>
      <c r="AK8" s="6"/>
      <c r="AL8" s="7"/>
      <c r="AM8" s="11"/>
      <c r="AN8" s="6"/>
      <c r="AO8" s="7"/>
      <c r="AP8" s="4">
        <f t="shared" si="4"/>
        <v>17024</v>
      </c>
      <c r="AQ8" s="12"/>
      <c r="AR8" s="13"/>
      <c r="AS8" s="13"/>
      <c r="AT8" s="14"/>
      <c r="AU8" s="44"/>
      <c r="AV8" s="14"/>
      <c r="AW8" s="14"/>
      <c r="AX8" s="14"/>
      <c r="AY8" s="16"/>
      <c r="AZ8" s="4">
        <f t="shared" si="5"/>
        <v>17024</v>
      </c>
      <c r="BA8" s="14"/>
      <c r="BB8" s="14"/>
      <c r="BC8" s="42"/>
      <c r="BD8" s="14"/>
      <c r="BE8" s="16"/>
      <c r="BF8" s="4">
        <f t="shared" si="6"/>
        <v>17024</v>
      </c>
      <c r="BG8" s="18">
        <v>400000</v>
      </c>
      <c r="BH8" s="18"/>
      <c r="BI8" s="25"/>
      <c r="BJ8" s="18"/>
      <c r="BK8" s="18"/>
      <c r="BL8" s="19"/>
      <c r="BM8" s="20">
        <f t="shared" si="7"/>
        <v>417024</v>
      </c>
    </row>
    <row r="9" spans="1:65" ht="15" thickBot="1" x14ac:dyDescent="0.35">
      <c r="A9">
        <v>141</v>
      </c>
      <c r="B9" t="s">
        <v>205</v>
      </c>
      <c r="C9" s="1" t="s">
        <v>55</v>
      </c>
      <c r="D9" s="2">
        <f>+GETPIVOTDATA("ADJBAL",[2]AGTRAXDATA!$F$1,"BRANCH_NUMBER",141,"COMMODITY_CODE","01")/60</f>
        <v>125095.91666666667</v>
      </c>
      <c r="E9" s="2">
        <f>+GETPIVOTDATA("ADJBAL",[2]AGTRAXDATA!$F$1,"BRANCH_NUMBER",141,"COMMODITY_CODE","02")/56</f>
        <v>0</v>
      </c>
      <c r="F9" s="2">
        <f>+GETPIVOTDATA("ADJBAL",[2]AGTRAXDATA!$F$1,"BRANCH_NUMBER",141,"COMMODITY_CODE","04")/56</f>
        <v>0</v>
      </c>
      <c r="G9" s="2">
        <f>+GETPIVOTDATA("ADJBAL",[2]AGTRAXDATA!$F$1,"BRANCH_NUMBER",141,"COMMODITY_CODE","03")/60</f>
        <v>0</v>
      </c>
      <c r="H9" s="2">
        <f>+GETPIVOTDATA("ADJBAL",[2]AGTRAXDATA!$F$1,"BRANCH_NUMBER",141,"COMMODITY_CODE","22")/25</f>
        <v>0</v>
      </c>
      <c r="I9" s="3">
        <v>0</v>
      </c>
      <c r="J9" s="3"/>
      <c r="K9" s="4">
        <f t="shared" si="0"/>
        <v>125095.91666666667</v>
      </c>
      <c r="L9" s="5"/>
      <c r="M9" s="2">
        <f>+GETPIVOTDATA("LBS_UPDATED",[2]SALESCONTRACTS!$E$1,"BRANCH_NUMBER",141,"COMMODITY_CODE","01")/60</f>
        <v>4388.1499999999996</v>
      </c>
      <c r="N9" s="2">
        <f>+GETPIVOTDATA("LBS_UPDATED",[2]SALESCONTRACTS!$E$1,"BRANCH_NUMBER",141,"COMMODITY_CODE","02")/56</f>
        <v>0</v>
      </c>
      <c r="O9" s="2">
        <f>+GETPIVOTDATA("LBS_UPDATED",[2]SALESCONTRACTS!$E$1,"BRANCH_NUMBER",141,"COMMODITY_CODE","04")/56</f>
        <v>0</v>
      </c>
      <c r="P9" s="2">
        <f>+GETPIVOTDATA("LBS_UPDATED",[2]SALESCONTRACTS!$E$1,"BRANCH_NUMBER",141,"COMMODITY_CODE","03")/60</f>
        <v>0</v>
      </c>
      <c r="Q9" s="2">
        <f>+GETPIVOTDATA("LBS_UPDATED",[2]SALESCONTRACTS!$E$1,"BRANCH_NUMBER",141,"COMMODITY_CODE","22")/25</f>
        <v>0</v>
      </c>
      <c r="R9" s="5"/>
      <c r="S9" s="5"/>
      <c r="T9" s="5"/>
      <c r="U9" s="5"/>
      <c r="V9" s="6"/>
      <c r="W9" s="6"/>
      <c r="X9" s="7"/>
      <c r="Y9" s="4">
        <f t="shared" si="1"/>
        <v>120707.76666666668</v>
      </c>
      <c r="Z9" s="5"/>
      <c r="AA9" s="5">
        <v>165655</v>
      </c>
      <c r="AB9" s="5"/>
      <c r="AC9" s="5">
        <v>0</v>
      </c>
      <c r="AD9" s="8">
        <f t="shared" si="2"/>
        <v>40559.083333333328</v>
      </c>
      <c r="AE9" s="8"/>
      <c r="AF9" s="4">
        <f t="shared" si="3"/>
        <v>44947.233333333323</v>
      </c>
      <c r="AG9" s="5"/>
      <c r="AH9" s="9"/>
      <c r="AI9" s="9"/>
      <c r="AJ9" s="10"/>
      <c r="AK9" s="6"/>
      <c r="AL9" s="7"/>
      <c r="AM9" s="11">
        <v>150000</v>
      </c>
      <c r="AN9" s="6"/>
      <c r="AO9" s="7"/>
      <c r="AP9" s="4">
        <f t="shared" si="4"/>
        <v>-105052.76666666668</v>
      </c>
      <c r="AQ9" s="12"/>
      <c r="AR9" s="13"/>
      <c r="AS9" s="13"/>
      <c r="AT9" s="14">
        <v>95000</v>
      </c>
      <c r="AU9" s="14"/>
      <c r="AV9" s="14"/>
      <c r="AW9" s="14"/>
      <c r="AX9" s="14"/>
      <c r="AY9" s="16"/>
      <c r="AZ9" s="4">
        <f t="shared" si="5"/>
        <v>-10052.766666666677</v>
      </c>
      <c r="BA9" s="14"/>
      <c r="BB9" s="14"/>
      <c r="BC9" s="14"/>
      <c r="BD9" s="14"/>
      <c r="BE9" s="16"/>
      <c r="BF9" s="4">
        <f t="shared" si="6"/>
        <v>-10052.766666666677</v>
      </c>
      <c r="BG9" s="18"/>
      <c r="BH9" s="18"/>
      <c r="BI9" s="17"/>
      <c r="BJ9" s="18"/>
      <c r="BK9" s="18"/>
      <c r="BL9" s="19"/>
      <c r="BM9" s="20">
        <f t="shared" si="7"/>
        <v>-10052.766666666677</v>
      </c>
    </row>
    <row r="10" spans="1:65" ht="15" thickBot="1" x14ac:dyDescent="0.35">
      <c r="A10">
        <v>91</v>
      </c>
      <c r="B10" t="s">
        <v>204</v>
      </c>
      <c r="C10" s="1" t="s">
        <v>56</v>
      </c>
      <c r="D10" s="2">
        <f>+GETPIVOTDATA("ADJBAL",[2]AGTRAXDATA!$F$1,"BRANCH_NUMBER",91,"COMMODITY_CODE","01")/60</f>
        <v>287131.08333333331</v>
      </c>
      <c r="E10" s="2">
        <f>+GETPIVOTDATA("ADJBAL",[2]AGTRAXDATA!$F$1,"BRANCH_NUMBER",91,"COMMODITY_CODE","02")/56</f>
        <v>-80.214285714285708</v>
      </c>
      <c r="F10" s="2">
        <f>+GETPIVOTDATA("ADJBAL",[2]AGTRAXDATA!$F$1,"BRANCH_NUMBER",91,"COMMODITY_CODE","04")/56</f>
        <v>0</v>
      </c>
      <c r="G10" s="2">
        <f>+GETPIVOTDATA("ADJBAL",[2]AGTRAXDATA!$F$1,"BRANCH_NUMBER",91,"COMMODITY_CODE","03")/60</f>
        <v>130016.98333333334</v>
      </c>
      <c r="H10" s="2">
        <f>+GETPIVOTDATA("ADJBAL",[2]AGTRAXDATA!$F$1,"BRANCH_NUMBER",91,"COMMODITY_CODE","22")/25</f>
        <v>0</v>
      </c>
      <c r="I10" s="3">
        <v>0</v>
      </c>
      <c r="J10" s="3"/>
      <c r="K10" s="4">
        <f t="shared" si="0"/>
        <v>417067.85238095239</v>
      </c>
      <c r="L10" s="5"/>
      <c r="M10" s="2">
        <f>+GETPIVOTDATA("LBS_UPDATED",[2]SALESCONTRACTS!$E$1,"BRANCH_NUMBER",91,"COMMODITY_CODE","01")/60</f>
        <v>0</v>
      </c>
      <c r="N10" s="2">
        <f>+GETPIVOTDATA("LBS_UPDATED",[2]SALESCONTRACTS!$E$1,"BRANCH_NUMBER",91,"COMMODITY_CODE","02")/56</f>
        <v>0</v>
      </c>
      <c r="O10" s="2">
        <f>+GETPIVOTDATA("LBS_UPDATED",[2]SALESCONTRACTS!$E$1,"BRANCH_NUMBER",91,"COMMODITY_CODE","04")/56</f>
        <v>0</v>
      </c>
      <c r="P10" s="2">
        <f>+GETPIVOTDATA("LBS_UPDATED",[2]SALESCONTRACTS!$E$1,"BRANCH_NUMBER",91,"COMMODITY_CODE","03")/60</f>
        <v>0</v>
      </c>
      <c r="Q10" s="2">
        <f>+GETPIVOTDATA("LBS_UPDATED",[2]SALESCONTRACTS!$E$1,"BRANCH_NUMBER",91,"COMMODITY_CODE","22")/25</f>
        <v>0</v>
      </c>
      <c r="R10" s="5"/>
      <c r="S10" s="5"/>
      <c r="T10" s="5"/>
      <c r="U10" s="5"/>
      <c r="V10" s="31"/>
      <c r="W10" s="6"/>
      <c r="X10" s="7"/>
      <c r="Y10" s="4">
        <f t="shared" si="1"/>
        <v>417067.85238095239</v>
      </c>
      <c r="Z10" s="5"/>
      <c r="AA10" s="5">
        <v>607500</v>
      </c>
      <c r="AB10" s="5"/>
      <c r="AC10" s="5"/>
      <c r="AD10" s="8">
        <f t="shared" si="2"/>
        <v>190432.14761904761</v>
      </c>
      <c r="AE10" s="8"/>
      <c r="AF10" s="4">
        <f t="shared" si="3"/>
        <v>190432.14761904761</v>
      </c>
      <c r="AG10" s="5"/>
      <c r="AH10" s="33"/>
      <c r="AI10" s="33"/>
      <c r="AJ10" s="10"/>
      <c r="AK10" s="31"/>
      <c r="AL10" s="7"/>
      <c r="AM10" s="31"/>
      <c r="AN10" s="31"/>
      <c r="AO10" s="7"/>
      <c r="AP10" s="4">
        <f t="shared" si="4"/>
        <v>190432.14761904761</v>
      </c>
      <c r="AQ10" s="12"/>
      <c r="AR10" s="13"/>
      <c r="AS10" s="13"/>
      <c r="AT10" s="14"/>
      <c r="AU10" s="14"/>
      <c r="AV10" s="14"/>
      <c r="AW10" s="14"/>
      <c r="AX10" s="14"/>
      <c r="AY10" s="16"/>
      <c r="AZ10" s="4">
        <f t="shared" si="5"/>
        <v>190432.14761904761</v>
      </c>
      <c r="BA10" s="14"/>
      <c r="BB10" s="42"/>
      <c r="BC10" s="14"/>
      <c r="BD10" s="14"/>
      <c r="BE10" s="16"/>
      <c r="BF10" s="4">
        <f t="shared" si="6"/>
        <v>190432.14761904761</v>
      </c>
      <c r="BG10" s="18"/>
      <c r="BH10" s="52"/>
      <c r="BI10" s="17"/>
      <c r="BJ10" s="18"/>
      <c r="BK10" s="18"/>
      <c r="BL10" s="19"/>
      <c r="BM10" s="20">
        <f t="shared" si="7"/>
        <v>190432.14761904761</v>
      </c>
    </row>
    <row r="11" spans="1:65" ht="15" thickBot="1" x14ac:dyDescent="0.35">
      <c r="A11">
        <v>31</v>
      </c>
      <c r="B11" t="s">
        <v>203</v>
      </c>
      <c r="C11" s="1" t="s">
        <v>57</v>
      </c>
      <c r="D11" s="2">
        <f>+GETPIVOTDATA("ADJBAL",[2]AGTRAXDATA!$F$1,"BRANCH_NUMBER",31,"COMMODITY_CODE","01")/60</f>
        <v>1244838.0333333334</v>
      </c>
      <c r="E11" s="2">
        <f>+GETPIVOTDATA("ADJBAL",[2]AGTRAXDATA!$F$1,"BRANCH_NUMBER",31,"COMMODITY_CODE","02")/56</f>
        <v>92299.08928571429</v>
      </c>
      <c r="F11" s="27">
        <f>+GETPIVOTDATA("ADJBAL",[2]AGTRAXDATA!$F$1,"BRANCH_NUMBER",31,"COMMODITY_CODE","04")/56</f>
        <v>309806.60714285716</v>
      </c>
      <c r="G11" s="2">
        <f>+GETPIVOTDATA("ADJBAL",[2]AGTRAXDATA!$F$1,"BRANCH_NUMBER",31,"COMMODITY_CODE","03")/60</f>
        <v>800845.31666666665</v>
      </c>
      <c r="H11" s="2">
        <f>+GETPIVOTDATA("ADJBAL",[2]AGTRAXDATA!$F$1,"BRANCH_NUMBER",31,"COMMODITY_CODE","22")/25</f>
        <v>0</v>
      </c>
      <c r="I11" s="3">
        <v>0</v>
      </c>
      <c r="J11" s="3"/>
      <c r="K11" s="4">
        <f t="shared" si="0"/>
        <v>2447789.0464285715</v>
      </c>
      <c r="L11" s="5"/>
      <c r="M11" s="2">
        <f>+GETPIVOTDATA("LBS_UPDATED",[2]SALESCONTRACTS!$E$1,"BRANCH_NUMBER",31,"COMMODITY_CODE","01")/60</f>
        <v>275822.98333333334</v>
      </c>
      <c r="N11" s="2">
        <f>+GETPIVOTDATA("LBS_UPDATED",[2]SALESCONTRACTS!$E$1,"BRANCH_NUMBER",31,"COMMODITY_CODE","02")/56</f>
        <v>0</v>
      </c>
      <c r="O11" s="2">
        <f>+GETPIVOTDATA("LBS_UPDATED",[2]SALESCONTRACTS!$E$1,"BRANCH_NUMBER",31,"COMMODITY_CODE","04")/56</f>
        <v>0</v>
      </c>
      <c r="P11" s="2">
        <f>+GETPIVOTDATA("LBS_UPDATED",[2]SALESCONTRACTS!$E$1,"BRANCH_NUMBER",31,"COMMODITY_CODE","03")/60</f>
        <v>0</v>
      </c>
      <c r="Q11" s="2">
        <f>+GETPIVOTDATA("LBS_UPDATED",[2]SALESCONTRACTS!$E$1,"BRANCH_NUMBER",31,"COMMODITY_CODE","22")/25</f>
        <v>0</v>
      </c>
      <c r="R11" s="5"/>
      <c r="S11" s="5"/>
      <c r="T11" s="5"/>
      <c r="U11" s="5"/>
      <c r="V11" s="30"/>
      <c r="W11" s="30"/>
      <c r="X11" s="7"/>
      <c r="Y11" s="4">
        <f t="shared" si="1"/>
        <v>2171966.0630952381</v>
      </c>
      <c r="Z11" s="5"/>
      <c r="AA11" s="5">
        <v>2020000</v>
      </c>
      <c r="AB11" s="5">
        <v>1100000</v>
      </c>
      <c r="AC11" s="5">
        <v>0</v>
      </c>
      <c r="AD11" s="8">
        <f t="shared" si="2"/>
        <v>672210.95357142854</v>
      </c>
      <c r="AE11" s="8"/>
      <c r="AF11" s="4">
        <f t="shared" si="3"/>
        <v>948033.93690476194</v>
      </c>
      <c r="AG11" s="5"/>
      <c r="AH11" s="32"/>
      <c r="AI11" s="32"/>
      <c r="AJ11" s="10"/>
      <c r="AK11" s="30"/>
      <c r="AL11" s="7"/>
      <c r="AM11" s="11">
        <v>1800000</v>
      </c>
      <c r="AN11" s="6"/>
      <c r="AO11" s="7"/>
      <c r="AP11" s="4">
        <f t="shared" si="4"/>
        <v>-851966.06309523806</v>
      </c>
      <c r="AQ11" s="12"/>
      <c r="AR11" s="13"/>
      <c r="AS11" s="13"/>
      <c r="AT11" s="12">
        <v>170000</v>
      </c>
      <c r="AU11" s="14"/>
      <c r="AV11" s="14"/>
      <c r="AW11" s="15"/>
      <c r="AX11" s="14"/>
      <c r="AY11" s="16"/>
      <c r="AZ11" s="4">
        <f t="shared" si="5"/>
        <v>-681966.06309523806</v>
      </c>
      <c r="BA11" s="14">
        <v>500000</v>
      </c>
      <c r="BB11" s="14"/>
      <c r="BC11" s="14"/>
      <c r="BD11" s="14"/>
      <c r="BE11" s="16"/>
      <c r="BF11" s="4">
        <f t="shared" si="6"/>
        <v>-181966.06309523806</v>
      </c>
      <c r="BG11" s="18"/>
      <c r="BH11" s="14"/>
      <c r="BI11" s="14">
        <v>310000</v>
      </c>
      <c r="BJ11" s="14"/>
      <c r="BK11" s="18"/>
      <c r="BL11" s="58"/>
      <c r="BM11" s="20">
        <f t="shared" si="7"/>
        <v>128033.93690476194</v>
      </c>
    </row>
    <row r="12" spans="1:65" ht="15" thickBot="1" x14ac:dyDescent="0.35">
      <c r="A12">
        <v>32</v>
      </c>
      <c r="B12" t="s">
        <v>202</v>
      </c>
      <c r="C12" s="1" t="s">
        <v>58</v>
      </c>
      <c r="D12" s="2">
        <f>+GETPIVOTDATA("ADJBAL",[2]AGTRAXDATA!$F$1,"BRANCH_NUMBER",32,"COMMODITY_CODE","01")/60</f>
        <v>0</v>
      </c>
      <c r="E12" s="2">
        <f>+GETPIVOTDATA("ADJBAL",[2]AGTRAXDATA!$F$1,"BRANCH_NUMBER",32,"COMMODITY_CODE","02")/56</f>
        <v>0</v>
      </c>
      <c r="F12" s="27">
        <f>+GETPIVOTDATA("ADJBAL",[2]AGTRAXDATA!$F$1,"BRANCH_NUMBER",32,"COMMODITY_CODE","04")/56</f>
        <v>915528.57142857148</v>
      </c>
      <c r="G12" s="2">
        <f>+GETPIVOTDATA("ADJBAL",[2]AGTRAXDATA!$F$1,"BRANCH_NUMBER",32,"COMMODITY_CODE","03")/60</f>
        <v>0</v>
      </c>
      <c r="H12" s="2">
        <f>+GETPIVOTDATA("ADJBAL",[2]AGTRAXDATA!$F$1,"BRANCH_NUMBER",31,"COMMODITY_CODE","22")/25</f>
        <v>0</v>
      </c>
      <c r="I12" s="3">
        <v>0</v>
      </c>
      <c r="J12" s="3"/>
      <c r="K12" s="4">
        <f t="shared" si="0"/>
        <v>915528.57142857148</v>
      </c>
      <c r="L12" s="5"/>
      <c r="M12" s="2"/>
      <c r="N12" s="2"/>
      <c r="O12" s="2"/>
      <c r="P12" s="2"/>
      <c r="Q12" s="2"/>
      <c r="R12" s="5"/>
      <c r="S12" s="5"/>
      <c r="T12" s="5"/>
      <c r="U12" s="5"/>
      <c r="V12" s="30"/>
      <c r="W12" s="30"/>
      <c r="X12" s="7"/>
      <c r="Y12" s="4">
        <f t="shared" si="1"/>
        <v>915528.57142857148</v>
      </c>
      <c r="Z12" s="5"/>
      <c r="AA12" s="5"/>
      <c r="AB12" s="5">
        <v>1045096</v>
      </c>
      <c r="AC12" s="5"/>
      <c r="AD12" s="8">
        <f t="shared" si="2"/>
        <v>129567.42857142852</v>
      </c>
      <c r="AE12" s="8"/>
      <c r="AF12" s="4">
        <f t="shared" si="3"/>
        <v>129567.42857142852</v>
      </c>
      <c r="AG12" s="5"/>
      <c r="AH12" s="32"/>
      <c r="AI12" s="32"/>
      <c r="AJ12" s="10"/>
      <c r="AK12" s="30"/>
      <c r="AL12" s="7"/>
      <c r="AM12" s="6"/>
      <c r="AN12" s="6"/>
      <c r="AO12" s="7"/>
      <c r="AP12" s="4">
        <f t="shared" si="4"/>
        <v>129567.42857142852</v>
      </c>
      <c r="AQ12" s="12"/>
      <c r="AR12" s="13"/>
      <c r="AS12" s="13"/>
      <c r="AT12" s="14"/>
      <c r="AU12" s="14"/>
      <c r="AV12" s="12">
        <v>54000</v>
      </c>
      <c r="AW12" s="14"/>
      <c r="AX12" s="14"/>
      <c r="AY12" s="16"/>
      <c r="AZ12" s="4">
        <f t="shared" si="5"/>
        <v>183567.42857142852</v>
      </c>
      <c r="BA12" s="14"/>
      <c r="BB12" s="14"/>
      <c r="BC12" s="14">
        <v>866000</v>
      </c>
      <c r="BD12" s="14"/>
      <c r="BE12" s="16"/>
      <c r="BF12" s="4">
        <f t="shared" si="6"/>
        <v>1049567.4285714286</v>
      </c>
      <c r="BG12" s="18"/>
      <c r="BH12" s="18"/>
      <c r="BI12" s="25"/>
      <c r="BJ12" s="18"/>
      <c r="BK12" s="18"/>
      <c r="BL12" s="58"/>
      <c r="BM12" s="20">
        <f t="shared" si="7"/>
        <v>1049567.4285714286</v>
      </c>
    </row>
    <row r="13" spans="1:65" ht="15" thickBot="1" x14ac:dyDescent="0.35">
      <c r="A13">
        <v>71</v>
      </c>
      <c r="B13" t="s">
        <v>201</v>
      </c>
      <c r="C13" s="1" t="s">
        <v>59</v>
      </c>
      <c r="D13" s="2">
        <f>+GETPIVOTDATA("ADJBAL",[2]AGTRAXDATA!$F$1,"BRANCH_NUMBER",71,"COMMODITY_CODE","01")/60</f>
        <v>270736.78333333333</v>
      </c>
      <c r="E13" s="2">
        <f>+GETPIVOTDATA("ADJBAL",[2]AGTRAXDATA!$F$1,"BRANCH_NUMBER",71,"COMMODITY_CODE","02")/56</f>
        <v>22114.892857142859</v>
      </c>
      <c r="F13" s="27">
        <f>+GETPIVOTDATA("ADJBAL",[2]AGTRAXDATA!$F$1,"BRANCH_NUMBER",71,"COMMODITY_CODE","04")/56</f>
        <v>450268</v>
      </c>
      <c r="G13" s="2">
        <f>+GETPIVOTDATA("ADJBAL",[2]AGTRAXDATA!$F$1,"BRANCH_NUMBER",71,"COMMODITY_CODE","03")/60</f>
        <v>128754.91666666667</v>
      </c>
      <c r="H13" s="2">
        <f>+GETPIVOTDATA("ADJBAL",[2]AGTRAXDATA!$F$1,"BRANCH_NUMBER",71,"COMMODITY_CODE","22")/25</f>
        <v>0</v>
      </c>
      <c r="I13" s="3"/>
      <c r="J13" s="3"/>
      <c r="K13" s="4">
        <f t="shared" si="0"/>
        <v>871874.59285714279</v>
      </c>
      <c r="L13" s="5"/>
      <c r="M13" s="2">
        <f>+GETPIVOTDATA("LBS_UPDATED",[2]SALESCONTRACTS!$E$1,"BRANCH_NUMBER",71,"COMMODITY_CODE","01")/60</f>
        <v>0</v>
      </c>
      <c r="N13" s="2">
        <f>+GETPIVOTDATA("LBS_UPDATED",[2]SALESCONTRACTS!$E$1,"BRANCH_NUMBER",71,"COMMODITY_CODE","02")/56</f>
        <v>0</v>
      </c>
      <c r="O13" s="2">
        <f>+GETPIVOTDATA("LBS_UPDATED",[2]SALESCONTRACTS!$E$1,"BRANCH_NUMBER",71,"COMMODITY_CODE","04")/56</f>
        <v>17738.214285714286</v>
      </c>
      <c r="P13" s="2">
        <f>+GETPIVOTDATA("LBS_UPDATED",[2]SALESCONTRACTS!$E$1,"BRANCH_NUMBER",71,"COMMODITY_CODE","03")/60</f>
        <v>0</v>
      </c>
      <c r="Q13" s="2">
        <f>+GETPIVOTDATA("LBS_UPDATED",[2]SALESCONTRACTS!$E$1,"BRANCH_NUMBER",71,"COMMODITY_CODE","22")/25</f>
        <v>0</v>
      </c>
      <c r="R13" s="5"/>
      <c r="S13" s="5"/>
      <c r="T13" s="5"/>
      <c r="U13" s="5"/>
      <c r="V13" s="6"/>
      <c r="W13" s="6"/>
      <c r="X13" s="7"/>
      <c r="Y13" s="4">
        <f t="shared" si="1"/>
        <v>854136.37857142847</v>
      </c>
      <c r="Z13" s="5"/>
      <c r="AA13" s="5">
        <v>861300</v>
      </c>
      <c r="AB13" s="5">
        <v>192600</v>
      </c>
      <c r="AC13" s="5">
        <v>0</v>
      </c>
      <c r="AD13" s="8">
        <f t="shared" si="2"/>
        <v>182025.40714285721</v>
      </c>
      <c r="AE13" s="8"/>
      <c r="AF13" s="4">
        <f t="shared" si="3"/>
        <v>199763.62142857153</v>
      </c>
      <c r="AG13" s="5"/>
      <c r="AH13" s="32"/>
      <c r="AI13" s="32"/>
      <c r="AJ13" s="10"/>
      <c r="AK13" s="30"/>
      <c r="AL13" s="7"/>
      <c r="AM13" s="11">
        <v>380000</v>
      </c>
      <c r="AN13" s="6"/>
      <c r="AO13" s="7"/>
      <c r="AP13" s="4">
        <f t="shared" si="4"/>
        <v>-180236.37857142847</v>
      </c>
      <c r="AQ13" s="12"/>
      <c r="AR13" s="13"/>
      <c r="AS13" s="13"/>
      <c r="AT13" s="14"/>
      <c r="AU13" s="15"/>
      <c r="AV13" s="14">
        <v>160000</v>
      </c>
      <c r="AW13" s="15"/>
      <c r="AX13" s="14"/>
      <c r="AY13" s="16"/>
      <c r="AZ13" s="4">
        <f t="shared" si="5"/>
        <v>-20236.378571428475</v>
      </c>
      <c r="BA13" s="14"/>
      <c r="BB13" s="42"/>
      <c r="BC13" s="14"/>
      <c r="BD13" s="14"/>
      <c r="BE13" s="16"/>
      <c r="BF13" s="4">
        <f t="shared" si="6"/>
        <v>-20236.378571428475</v>
      </c>
      <c r="BG13" s="18"/>
      <c r="BH13" s="52">
        <v>22000</v>
      </c>
      <c r="BI13" s="17"/>
      <c r="BJ13" s="18"/>
      <c r="BK13" s="18"/>
      <c r="BL13" s="19"/>
      <c r="BM13" s="20">
        <f t="shared" si="7"/>
        <v>1763.621428571525</v>
      </c>
    </row>
    <row r="14" spans="1:65" ht="15" thickBot="1" x14ac:dyDescent="0.35">
      <c r="A14">
        <v>183</v>
      </c>
      <c r="B14" t="s">
        <v>200</v>
      </c>
      <c r="C14" s="1" t="s">
        <v>60</v>
      </c>
      <c r="D14" s="2">
        <f>+GETPIVOTDATA("ADJBAL",[2]AGTRAXDATA!$F$1,"BRANCH_NUMBER",183,"COMMODITY_CODE","01")/60</f>
        <v>54742.05</v>
      </c>
      <c r="E14" s="2">
        <f>+GETPIVOTDATA("ADJBAL",[2]AGTRAXDATA!$F$1,"BRANCH_NUMBER",183,"COMMODITY_CODE","02")/56</f>
        <v>9747.5178571428569</v>
      </c>
      <c r="F14" s="2">
        <f>+GETPIVOTDATA("ADJBAL",[2]AGTRAXDATA!$F$1,"BRANCH_NUMBER",183,"COMMODITY_CODE","04")/56</f>
        <v>71262.303571428565</v>
      </c>
      <c r="G14" s="2">
        <f>+GETPIVOTDATA("ADJBAL",[2]AGTRAXDATA!$F$1,"BRANCH_NUMBER",183,"COMMODITY_CODE","03")/60</f>
        <v>0</v>
      </c>
      <c r="H14" s="2">
        <f>+GETPIVOTDATA("ADJBAL",[2]AGTRAXDATA!$F$1,"BRANCH_NUMBER",183,"COMMODITY_CODE","22")/25</f>
        <v>0</v>
      </c>
      <c r="I14" s="3">
        <v>0</v>
      </c>
      <c r="J14" s="3"/>
      <c r="K14" s="4">
        <f t="shared" si="0"/>
        <v>135751.87142857141</v>
      </c>
      <c r="L14" s="5"/>
      <c r="M14" s="2">
        <f>+GETPIVOTDATA("LBS_UPDATED",[2]SALESCONTRACTS!$E$1,"BRANCH_NUMBER",183,"COMMODITY_CODE","01")/60</f>
        <v>0</v>
      </c>
      <c r="N14" s="2">
        <f>+GETPIVOTDATA("LBS_UPDATED",[2]SALESCONTRACTS!$E$1,"BRANCH_NUMBER",183,"COMMODITY_CODE","02")/56</f>
        <v>0</v>
      </c>
      <c r="O14" s="2">
        <f>+GETPIVOTDATA("LBS_UPDATED",[2]SALESCONTRACTS!$E$1,"BRANCH_NUMBER",183,"COMMODITY_CODE","04")/56</f>
        <v>0</v>
      </c>
      <c r="P14" s="2">
        <f>+GETPIVOTDATA("LBS_UPDATED",[2]SALESCONTRACTS!$E$1,"BRANCH_NUMBER",183,"COMMODITY_CODE","03")/60</f>
        <v>0</v>
      </c>
      <c r="Q14" s="2">
        <f>+GETPIVOTDATA("LBS_UPDATED",[2]SALESCONTRACTS!$E$1,"BRANCH_NUMBER",183,"COMMODITY_CODE","22")/25</f>
        <v>0</v>
      </c>
      <c r="R14" s="5"/>
      <c r="S14" s="5"/>
      <c r="T14" s="5"/>
      <c r="U14" s="5"/>
      <c r="V14" s="6"/>
      <c r="W14" s="6"/>
      <c r="X14" s="7"/>
      <c r="Y14" s="4">
        <f t="shared" si="1"/>
        <v>135751.87142857141</v>
      </c>
      <c r="Z14" s="5"/>
      <c r="AA14" s="5">
        <v>352000</v>
      </c>
      <c r="AB14" s="5"/>
      <c r="AC14" s="5"/>
      <c r="AD14" s="8">
        <f t="shared" si="2"/>
        <v>216248.12857142859</v>
      </c>
      <c r="AE14" s="8"/>
      <c r="AF14" s="4">
        <f t="shared" si="3"/>
        <v>216248.12857142859</v>
      </c>
      <c r="AG14" s="5"/>
      <c r="AH14" s="9"/>
      <c r="AI14" s="9"/>
      <c r="AJ14" s="10"/>
      <c r="AK14" s="6"/>
      <c r="AL14" s="7"/>
      <c r="AM14" s="11">
        <v>325000</v>
      </c>
      <c r="AN14" s="6"/>
      <c r="AO14" s="7"/>
      <c r="AP14" s="4">
        <f t="shared" si="4"/>
        <v>-108751.87142857141</v>
      </c>
      <c r="AQ14" s="12"/>
      <c r="AR14" s="13"/>
      <c r="AS14" s="13"/>
      <c r="AT14" s="14">
        <v>45000</v>
      </c>
      <c r="AU14" s="15"/>
      <c r="AV14" s="14">
        <v>71000</v>
      </c>
      <c r="AW14" s="14"/>
      <c r="AX14" s="14"/>
      <c r="AY14" s="16"/>
      <c r="AZ14" s="4">
        <f t="shared" si="5"/>
        <v>7248.1285714285914</v>
      </c>
      <c r="BA14" s="14"/>
      <c r="BB14" s="14"/>
      <c r="BC14" s="14"/>
      <c r="BD14" s="14"/>
      <c r="BE14" s="16"/>
      <c r="BF14" s="4">
        <f t="shared" si="6"/>
        <v>7248.1285714285914</v>
      </c>
      <c r="BG14" s="18"/>
      <c r="BH14" s="18">
        <v>10000</v>
      </c>
      <c r="BI14" s="17"/>
      <c r="BJ14" s="18"/>
      <c r="BK14" s="18"/>
      <c r="BL14" s="19"/>
      <c r="BM14" s="20">
        <f t="shared" si="7"/>
        <v>17248.128571428591</v>
      </c>
    </row>
    <row r="15" spans="1:65" ht="15" thickBot="1" x14ac:dyDescent="0.35">
      <c r="A15">
        <v>61</v>
      </c>
      <c r="B15" t="s">
        <v>199</v>
      </c>
      <c r="C15" s="1" t="s">
        <v>61</v>
      </c>
      <c r="D15" s="2">
        <f>+GETPIVOTDATA("ADJBAL",[2]AGTRAXDATA!$F$1,"BRANCH_NUMBER",61,"COMMODITY_CODE","01")/60</f>
        <v>29206.316666666666</v>
      </c>
      <c r="E15" s="2">
        <f>+GETPIVOTDATA("ADJBAL",[2]AGTRAXDATA!$F$1,"BRANCH_NUMBER",61,"COMMODITY_CODE","02")/56</f>
        <v>368.17857142857144</v>
      </c>
      <c r="F15" s="27">
        <f>+GETPIVOTDATA("ADJBAL",[2]AGTRAXDATA!$F$1,"BRANCH_NUMBER",61,"COMMODITY_CODE","04")/56</f>
        <v>25262.821428571428</v>
      </c>
      <c r="G15" s="2">
        <f>+GETPIVOTDATA("ADJBAL",[2]AGTRAXDATA!$F$1,"BRANCH_NUMBER",61,"COMMODITY_CODE","03")/60</f>
        <v>430342.35</v>
      </c>
      <c r="H15" s="2">
        <f>+GETPIVOTDATA("ADJBAL",[2]AGTRAXDATA!$F$1,"BRANCH_NUMBER",61,"COMMODITY_CODE","22")/25</f>
        <v>0</v>
      </c>
      <c r="I15" s="3">
        <v>0</v>
      </c>
      <c r="J15" s="3"/>
      <c r="K15" s="4">
        <f t="shared" si="0"/>
        <v>485179.66666666663</v>
      </c>
      <c r="L15" s="5"/>
      <c r="M15" s="2">
        <f>+GETPIVOTDATA("LBS_UPDATED",[2]SALESCONTRACTS!$E$1,"BRANCH_NUMBER",61,"COMMODITY_CODE","01")/60</f>
        <v>0</v>
      </c>
      <c r="N15" s="2">
        <f>+GETPIVOTDATA("LBS_UPDATED",[2]SALESCONTRACTS!$E$1,"BRANCH_NUMBER",61,"COMMODITY_CODE","02")/56</f>
        <v>0</v>
      </c>
      <c r="O15" s="2">
        <f>+GETPIVOTDATA("LBS_UPDATED",[2]SALESCONTRACTS!$E$1,"BRANCH_NUMBER",61,"COMMODITY_CODE","04")/56</f>
        <v>0</v>
      </c>
      <c r="P15" s="2">
        <f>+GETPIVOTDATA("LBS_UPDATED",[2]SALESCONTRACTS!$E$1,"BRANCH_NUMBER",61,"COMMODITY_CODE","03")/60</f>
        <v>0</v>
      </c>
      <c r="Q15" s="2">
        <f>+GETPIVOTDATA("LBS_UPDATED",[2]SALESCONTRACTS!$E$1,"BRANCH_NUMBER",61,"COMMODITY_CODE","22")/25</f>
        <v>2743.28</v>
      </c>
      <c r="R15" s="5"/>
      <c r="S15" s="5"/>
      <c r="T15" s="5"/>
      <c r="U15" s="5"/>
      <c r="V15" s="6"/>
      <c r="W15" s="6"/>
      <c r="X15" s="7"/>
      <c r="Y15" s="4">
        <f t="shared" si="1"/>
        <v>482436.3866666666</v>
      </c>
      <c r="Z15" s="5"/>
      <c r="AA15" s="5">
        <v>1218300</v>
      </c>
      <c r="AB15" s="5"/>
      <c r="AC15" s="5"/>
      <c r="AD15" s="8">
        <f t="shared" si="2"/>
        <v>733120.33333333337</v>
      </c>
      <c r="AE15" s="8"/>
      <c r="AF15" s="4">
        <f t="shared" si="3"/>
        <v>735863.6133333334</v>
      </c>
      <c r="AG15" s="5"/>
      <c r="AH15" s="9"/>
      <c r="AI15" s="9"/>
      <c r="AJ15" s="10"/>
      <c r="AK15" s="6"/>
      <c r="AL15" s="7"/>
      <c r="AM15" s="11">
        <v>610000</v>
      </c>
      <c r="AN15" s="6"/>
      <c r="AO15" s="7"/>
      <c r="AP15" s="4">
        <f t="shared" si="4"/>
        <v>125863.6133333334</v>
      </c>
      <c r="AQ15" s="12"/>
      <c r="AR15" s="13"/>
      <c r="AS15" s="14"/>
      <c r="AT15" s="14"/>
      <c r="AU15" s="14"/>
      <c r="AV15" s="14"/>
      <c r="AW15" s="14"/>
      <c r="AX15" s="14"/>
      <c r="AY15" s="16"/>
      <c r="AZ15" s="4">
        <f t="shared" si="5"/>
        <v>125863.6133333334</v>
      </c>
      <c r="BA15" s="14"/>
      <c r="BB15" s="49"/>
      <c r="BC15" s="14"/>
      <c r="BD15" s="14"/>
      <c r="BE15" s="16"/>
      <c r="BF15" s="4">
        <f t="shared" si="6"/>
        <v>125863.6133333334</v>
      </c>
      <c r="BG15" s="47"/>
      <c r="BH15" s="49"/>
      <c r="BI15" s="14"/>
      <c r="BJ15" s="14"/>
      <c r="BK15" s="18"/>
      <c r="BL15" s="19"/>
      <c r="BM15" s="20">
        <f t="shared" si="7"/>
        <v>125863.6133333334</v>
      </c>
    </row>
    <row r="16" spans="1:65" ht="15" thickBot="1" x14ac:dyDescent="0.35">
      <c r="A16">
        <v>11</v>
      </c>
      <c r="B16" t="s">
        <v>198</v>
      </c>
      <c r="C16" s="1" t="s">
        <v>62</v>
      </c>
      <c r="D16" s="2">
        <f>+GETPIVOTDATA("ADJBAL",[2]AGTRAXDATA!$F$1,"BRANCH_NUMBER",11,"COMMODITY_CODE","01")/60</f>
        <v>35463.35</v>
      </c>
      <c r="E16" s="2">
        <f>+GETPIVOTDATA("ADJBAL",[2]AGTRAXDATA!$F$1,"BRANCH_NUMBER",11,"COMMODITY_CODE","02")/56</f>
        <v>11595.857142857143</v>
      </c>
      <c r="F16" s="2">
        <f>+GETPIVOTDATA("ADJBAL",[2]AGTRAXDATA!$F$1,"BRANCH_NUMBER",11,"COMMODITY_CODE","04")/56</f>
        <v>247924.64285714287</v>
      </c>
      <c r="G16" s="2">
        <f>+GETPIVOTDATA("ADJBAL",[2]AGTRAXDATA!$F$1,"BRANCH_NUMBER",11,"COMMODITY_CODE","03")/60</f>
        <v>260037.56666666668</v>
      </c>
      <c r="H16" s="2">
        <f>+GETPIVOTDATA("ADJBAL",[2]AGTRAXDATA!$F$1,"BRANCH_NUMBER",11,"COMMODITY_CODE","22")/25</f>
        <v>0</v>
      </c>
      <c r="I16" s="3">
        <v>0</v>
      </c>
      <c r="J16" s="3"/>
      <c r="K16" s="4">
        <f t="shared" si="0"/>
        <v>555021.41666666674</v>
      </c>
      <c r="L16" s="5"/>
      <c r="M16" s="2">
        <f>+GETPIVOTDATA("LBS_UPDATED",[2]SALESCONTRACTS!$E$1,"BRANCH_NUMBER",11,"COMMODITY_CODE","01")/60</f>
        <v>54818.716666666667</v>
      </c>
      <c r="N16" s="2">
        <f>+GETPIVOTDATA("LBS_UPDATED",[2]SALESCONTRACTS!$E$1,"BRANCH_NUMBER",11,"COMMODITY_CODE","02")/56</f>
        <v>0</v>
      </c>
      <c r="O16" s="2">
        <f>+GETPIVOTDATA("LBS_UPDATED",[2]SALESCONTRACTS!$E$1,"BRANCH_NUMBER",11,"COMMODITY_CODE","04")/56</f>
        <v>5466.4285714285716</v>
      </c>
      <c r="P16" s="2">
        <f>+GETPIVOTDATA("LBS_UPDATED",[2]SALESCONTRACTS!$E$1,"BRANCH_NUMBER",11,"COMMODITY_CODE","03")/60</f>
        <v>0</v>
      </c>
      <c r="Q16" s="2">
        <f>+GETPIVOTDATA("LBS_UPDATED",[2]SALESCONTRACTS!$E$1,"BRANCH_NUMBER",11,"COMMODITY_CODE","22")/25</f>
        <v>0</v>
      </c>
      <c r="R16" s="5"/>
      <c r="S16" s="5"/>
      <c r="T16" s="5"/>
      <c r="U16" s="5"/>
      <c r="V16" s="6">
        <v>12000</v>
      </c>
      <c r="W16" s="6">
        <v>248000</v>
      </c>
      <c r="X16" s="7"/>
      <c r="Y16" s="4">
        <f t="shared" si="1"/>
        <v>234736.27142857149</v>
      </c>
      <c r="Z16" s="5"/>
      <c r="AA16" s="5">
        <v>1266000</v>
      </c>
      <c r="AB16" s="5"/>
      <c r="AC16" s="5"/>
      <c r="AD16" s="8">
        <f t="shared" si="2"/>
        <v>710978.58333333326</v>
      </c>
      <c r="AE16" s="8"/>
      <c r="AF16" s="4">
        <f t="shared" si="3"/>
        <v>1031263.7285714285</v>
      </c>
      <c r="AG16" s="5"/>
      <c r="AH16" s="9"/>
      <c r="AI16" s="9"/>
      <c r="AJ16" s="10"/>
      <c r="AK16" s="6"/>
      <c r="AL16" s="7"/>
      <c r="AM16" s="11">
        <v>1150000</v>
      </c>
      <c r="AN16" s="6"/>
      <c r="AO16" s="7"/>
      <c r="AP16" s="4">
        <f t="shared" si="4"/>
        <v>-118736.27142857155</v>
      </c>
      <c r="AQ16" s="12"/>
      <c r="AR16" s="13"/>
      <c r="AS16" s="13"/>
      <c r="AT16" s="14"/>
      <c r="AU16" s="14"/>
      <c r="AV16" s="14"/>
      <c r="AW16" s="14"/>
      <c r="AX16" s="14"/>
      <c r="AY16" s="16"/>
      <c r="AZ16" s="4">
        <f t="shared" si="5"/>
        <v>-118736.27142857155</v>
      </c>
      <c r="BA16" s="42"/>
      <c r="BB16" s="14"/>
      <c r="BC16" s="14"/>
      <c r="BD16" s="14"/>
      <c r="BE16" s="16"/>
      <c r="BF16" s="4">
        <f t="shared" si="6"/>
        <v>-118736.27142857155</v>
      </c>
      <c r="BG16" s="14"/>
      <c r="BH16" s="14"/>
      <c r="BI16" s="17"/>
      <c r="BJ16" s="14">
        <v>140000</v>
      </c>
      <c r="BK16" s="18"/>
      <c r="BL16" s="19"/>
      <c r="BM16" s="20">
        <f t="shared" si="7"/>
        <v>21263.728571428452</v>
      </c>
    </row>
    <row r="17" spans="1:65" ht="15" thickBot="1" x14ac:dyDescent="0.35">
      <c r="A17">
        <v>182</v>
      </c>
      <c r="B17" t="s">
        <v>197</v>
      </c>
      <c r="C17" s="1" t="s">
        <v>63</v>
      </c>
      <c r="D17" s="2">
        <f>+GETPIVOTDATA("ADJBAL",[2]AGTRAXDATA!$F$1,"BRANCH_NUMBER",182,"COMMODITY_CODE","01")/60</f>
        <v>345829.68333333335</v>
      </c>
      <c r="E17" s="2">
        <f>+GETPIVOTDATA("ADJBAL",[2]AGTRAXDATA!$F$1,"BRANCH_NUMBER",182,"COMMODITY_CODE","02")/56</f>
        <v>0</v>
      </c>
      <c r="F17" s="2">
        <f>+GETPIVOTDATA("ADJBAL",[2]AGTRAXDATA!$F$1,"BRANCH_NUMBER",182,"COMMODITY_CODE","04")/56</f>
        <v>0</v>
      </c>
      <c r="G17" s="2">
        <f>+GETPIVOTDATA("ADJBAL",[2]AGTRAXDATA!$F$1,"BRANCH_NUMBER",182,"COMMODITY_CODE","03")/60</f>
        <v>0</v>
      </c>
      <c r="H17" s="2">
        <f>+GETPIVOTDATA("ADJBAL",[2]AGTRAXDATA!$F$1,"BRANCH_NUMBER",182,"COMMODITY_CODE","22")/25</f>
        <v>0</v>
      </c>
      <c r="I17" s="3">
        <v>0</v>
      </c>
      <c r="J17" s="3"/>
      <c r="K17" s="4">
        <f t="shared" si="0"/>
        <v>345829.68333333335</v>
      </c>
      <c r="L17" s="5"/>
      <c r="M17" s="2">
        <f>+GETPIVOTDATA("LBS_UPDATED",[2]SALESCONTRACTS!$E$1,"BRANCH_NUMBER",182,"COMMODITY_CODE","01")/60</f>
        <v>0</v>
      </c>
      <c r="N17" s="2">
        <f>+GETPIVOTDATA("LBS_UPDATED",[2]SALESCONTRACTS!$E$1,"BRANCH_NUMBER",182,"COMMODITY_CODE","02")/56</f>
        <v>0</v>
      </c>
      <c r="O17" s="2">
        <f>+GETPIVOTDATA("LBS_UPDATED",[2]SALESCONTRACTS!$E$1,"BRANCH_NUMBER",182,"COMMODITY_CODE","04")/56</f>
        <v>0</v>
      </c>
      <c r="P17" s="2">
        <f>+GETPIVOTDATA("LBS_UPDATED",[2]SALESCONTRACTS!$E$1,"BRANCH_NUMBER",182,"COMMODITY_CODE","03")/60</f>
        <v>0</v>
      </c>
      <c r="Q17" s="2">
        <f>+GETPIVOTDATA("LBS_UPDATED",[2]SALESCONTRACTS!$E$1,"BRANCH_NUMBER",182,"COMMODITY_CODE","22")/25</f>
        <v>0</v>
      </c>
      <c r="R17" s="5"/>
      <c r="S17" s="5"/>
      <c r="T17" s="5"/>
      <c r="U17" s="5"/>
      <c r="V17" s="6"/>
      <c r="W17" s="6"/>
      <c r="X17" s="7"/>
      <c r="Y17" s="4">
        <f t="shared" si="1"/>
        <v>345829.68333333335</v>
      </c>
      <c r="Z17" s="5"/>
      <c r="AA17" s="5">
        <v>354600</v>
      </c>
      <c r="AB17" s="5"/>
      <c r="AC17" s="5"/>
      <c r="AD17" s="8">
        <f t="shared" si="2"/>
        <v>8770.3166666666511</v>
      </c>
      <c r="AE17" s="8"/>
      <c r="AF17" s="4">
        <f t="shared" si="3"/>
        <v>8770.3166666666511</v>
      </c>
      <c r="AG17" s="5"/>
      <c r="AH17" s="9"/>
      <c r="AI17" s="9"/>
      <c r="AJ17" s="10"/>
      <c r="AK17" s="6"/>
      <c r="AL17" s="7"/>
      <c r="AM17" s="6"/>
      <c r="AN17" s="6"/>
      <c r="AO17" s="7"/>
      <c r="AP17" s="4">
        <f t="shared" si="4"/>
        <v>8770.3166666666511</v>
      </c>
      <c r="AQ17" s="12"/>
      <c r="AR17" s="13"/>
      <c r="AS17" s="13"/>
      <c r="AT17" s="12"/>
      <c r="AU17" s="14"/>
      <c r="AV17" s="14"/>
      <c r="AW17" s="14"/>
      <c r="AX17" s="14"/>
      <c r="AY17" s="16"/>
      <c r="AZ17" s="4">
        <f t="shared" si="5"/>
        <v>8770.3166666666511</v>
      </c>
      <c r="BA17" s="14"/>
      <c r="BB17" s="48"/>
      <c r="BC17" s="14"/>
      <c r="BD17" s="14"/>
      <c r="BE17" s="16"/>
      <c r="BF17" s="4">
        <f t="shared" si="6"/>
        <v>8770.3166666666511</v>
      </c>
      <c r="BG17" s="18"/>
      <c r="BH17" s="52"/>
      <c r="BI17" s="17"/>
      <c r="BJ17" s="18"/>
      <c r="BK17" s="18"/>
      <c r="BL17" s="19"/>
      <c r="BM17" s="20">
        <f t="shared" si="7"/>
        <v>8770.3166666666511</v>
      </c>
    </row>
    <row r="18" spans="1:65" ht="15" thickBot="1" x14ac:dyDescent="0.35">
      <c r="A18">
        <v>181</v>
      </c>
      <c r="B18" t="s">
        <v>196</v>
      </c>
      <c r="C18" s="1" t="s">
        <v>64</v>
      </c>
      <c r="D18" s="2">
        <f>+GETPIVOTDATA("ADJBAL",[2]AGTRAXDATA!$F$1,"BRANCH_NUMBER",181,"COMMODITY_CODE","01")/60</f>
        <v>200338.9</v>
      </c>
      <c r="E18" s="2">
        <f>+GETPIVOTDATA("ADJBAL",[2]AGTRAXDATA!$F$1,"BRANCH_NUMBER",181,"COMMODITY_CODE","02")/56</f>
        <v>0</v>
      </c>
      <c r="F18" s="2">
        <f>+GETPIVOTDATA("ADJBAL",[2]AGTRAXDATA!$F$1,"BRANCH_NUMBER",181,"COMMODITY_CODE","04")/56</f>
        <v>0</v>
      </c>
      <c r="G18" s="2">
        <f>+GETPIVOTDATA("ADJBAL",[2]AGTRAXDATA!$F$1,"BRANCH_NUMBER",181,"COMMODITY_CODE","03")/60</f>
        <v>0</v>
      </c>
      <c r="H18" s="2">
        <f>+GETPIVOTDATA("ADJBAL",[2]AGTRAXDATA!$F$1,"BRANCH_NUMBER",181,"COMMODITY_CODE","22")/25</f>
        <v>0</v>
      </c>
      <c r="I18" s="3"/>
      <c r="J18" s="3"/>
      <c r="K18" s="4">
        <f t="shared" si="0"/>
        <v>200338.9</v>
      </c>
      <c r="L18" s="5"/>
      <c r="M18" s="2">
        <f>+GETPIVOTDATA("LBS_UPDATED",[2]SALESCONTRACTS!$E$1,"BRANCH_NUMBER",181,"COMMODITY_CODE","01")/60</f>
        <v>0</v>
      </c>
      <c r="N18" s="2">
        <f>+GETPIVOTDATA("LBS_UPDATED",[2]SALESCONTRACTS!$E$1,"BRANCH_NUMBER",181,"COMMODITY_CODE","02")/56</f>
        <v>0</v>
      </c>
      <c r="O18" s="2">
        <f>+GETPIVOTDATA("LBS_UPDATED",[2]SALESCONTRACTS!$E$1,"BRANCH_NUMBER",181,"COMMODITY_CODE","04")/56</f>
        <v>0</v>
      </c>
      <c r="P18" s="2">
        <f>+GETPIVOTDATA("LBS_UPDATED",[2]SALESCONTRACTS!$E$1,"BRANCH_NUMBER",181,"COMMODITY_CODE","03")/60</f>
        <v>0</v>
      </c>
      <c r="Q18" s="2">
        <f>+GETPIVOTDATA("LBS_UPDATED",[2]SALESCONTRACTS!$E$1,"BRANCH_NUMBER",181,"COMMODITY_CODE","22")/25</f>
        <v>0</v>
      </c>
      <c r="R18" s="5"/>
      <c r="S18" s="5"/>
      <c r="T18" s="5"/>
      <c r="U18" s="5"/>
      <c r="V18" s="6"/>
      <c r="W18" s="6"/>
      <c r="X18" s="7"/>
      <c r="Y18" s="4">
        <f t="shared" si="1"/>
        <v>200338.9</v>
      </c>
      <c r="Z18" s="5"/>
      <c r="AA18" s="5">
        <v>235800</v>
      </c>
      <c r="AB18" s="5"/>
      <c r="AC18" s="5"/>
      <c r="AD18" s="8">
        <f t="shared" si="2"/>
        <v>35461.100000000006</v>
      </c>
      <c r="AE18" s="8"/>
      <c r="AF18" s="4">
        <f t="shared" si="3"/>
        <v>35461.100000000006</v>
      </c>
      <c r="AG18" s="5"/>
      <c r="AH18" s="9"/>
      <c r="AI18" s="9"/>
      <c r="AJ18" s="10"/>
      <c r="AK18" s="6"/>
      <c r="AL18" s="7"/>
      <c r="AM18" s="6"/>
      <c r="AN18" s="6"/>
      <c r="AO18" s="7"/>
      <c r="AP18" s="4">
        <f t="shared" si="4"/>
        <v>35461.100000000006</v>
      </c>
      <c r="AQ18" s="12"/>
      <c r="AR18" s="13"/>
      <c r="AS18" s="13"/>
      <c r="AT18" s="14"/>
      <c r="AU18" s="14"/>
      <c r="AV18" s="14"/>
      <c r="AW18" s="14"/>
      <c r="AX18" s="14"/>
      <c r="AY18" s="16"/>
      <c r="AZ18" s="4">
        <f t="shared" si="5"/>
        <v>35461.100000000006</v>
      </c>
      <c r="BA18" s="14"/>
      <c r="BB18" s="14"/>
      <c r="BC18" s="14"/>
      <c r="BD18" s="14"/>
      <c r="BE18" s="16"/>
      <c r="BF18" s="4">
        <f t="shared" si="6"/>
        <v>35461.100000000006</v>
      </c>
      <c r="BG18" s="18"/>
      <c r="BH18" s="18"/>
      <c r="BI18" s="17"/>
      <c r="BJ18" s="18"/>
      <c r="BK18" s="18"/>
      <c r="BL18" s="19"/>
      <c r="BM18" s="20">
        <f t="shared" si="7"/>
        <v>35461.100000000006</v>
      </c>
    </row>
    <row r="19" spans="1:65" ht="15" thickBot="1" x14ac:dyDescent="0.35">
      <c r="A19">
        <v>161</v>
      </c>
      <c r="B19" t="s">
        <v>195</v>
      </c>
      <c r="C19" s="1" t="s">
        <v>65</v>
      </c>
      <c r="D19" s="2">
        <f>+GETPIVOTDATA("ADJBAL",[2]AGTRAXDATA!$F$1,"BRANCH_NUMBER",161,"COMMODITY_CODE","01")/60</f>
        <v>355983.26666666666</v>
      </c>
      <c r="E19" s="2">
        <f>+GETPIVOTDATA("ADJBAL",[2]AGTRAXDATA!$F$1,"BRANCH_NUMBER",161,"COMMODITY_CODE","02")/56</f>
        <v>0</v>
      </c>
      <c r="F19" s="2">
        <f>+GETPIVOTDATA("ADJBAL",[2]AGTRAXDATA!$F$1,"BRANCH_NUMBER",161,"COMMODITY_CODE","04")/56</f>
        <v>0</v>
      </c>
      <c r="G19" s="2">
        <f>+GETPIVOTDATA("ADJBAL",[2]AGTRAXDATA!$F$1,"BRANCH_NUMBER",161,"COMMODITY_CODE","03")/60</f>
        <v>0</v>
      </c>
      <c r="H19" s="2">
        <f>+GETPIVOTDATA("ADJBAL",[2]AGTRAXDATA!$F$1,"BRANCH_NUMBER",161,"COMMODITY_CODE","22")/25</f>
        <v>0</v>
      </c>
      <c r="I19" s="3">
        <v>0</v>
      </c>
      <c r="J19" s="3"/>
      <c r="K19" s="4">
        <f t="shared" si="0"/>
        <v>355983.26666666666</v>
      </c>
      <c r="L19" s="5"/>
      <c r="M19" s="2">
        <f>+GETPIVOTDATA("LBS_UPDATED",[2]SALESCONTRACTS!$E$1,"BRANCH_NUMBER",161,"COMMODITY_CODE","01")/60</f>
        <v>0</v>
      </c>
      <c r="N19" s="2">
        <f>+GETPIVOTDATA("LBS_UPDATED",[2]SALESCONTRACTS!$E$1,"BRANCH_NUMBER",161,"COMMODITY_CODE","02")/56</f>
        <v>0</v>
      </c>
      <c r="O19" s="2">
        <f>+GETPIVOTDATA("LBS_UPDATED",[2]SALESCONTRACTS!$E$1,"BRANCH_NUMBER",161,"COMMODITY_CODE","04")/56</f>
        <v>0</v>
      </c>
      <c r="P19" s="2">
        <f>+GETPIVOTDATA("LBS_UPDATED",[2]SALESCONTRACTS!$E$1,"BRANCH_NUMBER",161,"COMMODITY_CODE","03")/60</f>
        <v>0</v>
      </c>
      <c r="Q19" s="2">
        <f>+GETPIVOTDATA("LBS_UPDATED",[2]SALESCONTRACTS!$E$1,"BRANCH_NUMBER",161,"COMMODITY_CODE","22")/25</f>
        <v>0</v>
      </c>
      <c r="R19" s="5"/>
      <c r="S19" s="5"/>
      <c r="T19" s="5"/>
      <c r="U19" s="5"/>
      <c r="V19" s="6"/>
      <c r="W19" s="6"/>
      <c r="X19" s="7"/>
      <c r="Y19" s="4">
        <f t="shared" si="1"/>
        <v>355983.26666666666</v>
      </c>
      <c r="Z19" s="5"/>
      <c r="AA19" s="5">
        <v>185000</v>
      </c>
      <c r="AB19" s="5">
        <v>236000</v>
      </c>
      <c r="AC19" s="5"/>
      <c r="AD19" s="8">
        <f t="shared" si="2"/>
        <v>65016.733333333337</v>
      </c>
      <c r="AE19" s="8"/>
      <c r="AF19" s="4">
        <f t="shared" si="3"/>
        <v>65016.733333333337</v>
      </c>
      <c r="AG19" s="5"/>
      <c r="AH19" s="9"/>
      <c r="AI19" s="9"/>
      <c r="AJ19" s="10"/>
      <c r="AK19" s="6"/>
      <c r="AL19" s="7"/>
      <c r="AM19" s="6"/>
      <c r="AN19" s="6"/>
      <c r="AO19" s="7"/>
      <c r="AP19" s="4">
        <f t="shared" si="4"/>
        <v>65016.733333333337</v>
      </c>
      <c r="AQ19" s="12"/>
      <c r="AR19" s="13"/>
      <c r="AS19" s="13"/>
      <c r="AT19" s="14"/>
      <c r="AU19" s="14"/>
      <c r="AV19" s="14"/>
      <c r="AW19" s="14"/>
      <c r="AX19" s="14"/>
      <c r="AY19" s="16"/>
      <c r="AZ19" s="4">
        <f t="shared" si="5"/>
        <v>65016.733333333337</v>
      </c>
      <c r="BA19" s="14"/>
      <c r="BB19" s="14"/>
      <c r="BC19" s="14"/>
      <c r="BD19" s="14"/>
      <c r="BE19" s="16"/>
      <c r="BF19" s="4">
        <f t="shared" si="6"/>
        <v>65016.733333333337</v>
      </c>
      <c r="BG19" s="18"/>
      <c r="BH19" s="18"/>
      <c r="BI19" s="17"/>
      <c r="BJ19" s="18"/>
      <c r="BK19" s="18"/>
      <c r="BL19" s="19"/>
      <c r="BM19" s="20">
        <f t="shared" si="7"/>
        <v>65016.733333333337</v>
      </c>
    </row>
    <row r="20" spans="1:65" ht="15" thickBot="1" x14ac:dyDescent="0.35">
      <c r="A20">
        <v>151</v>
      </c>
      <c r="B20" t="s">
        <v>194</v>
      </c>
      <c r="C20" s="1" t="s">
        <v>66</v>
      </c>
      <c r="D20" s="2">
        <f>+GETPIVOTDATA("ADJBAL",[2]AGTRAXDATA!$F$1,"BRANCH_NUMBER",151,"COMMODITY_CODE","01")/60</f>
        <v>40925.949999999997</v>
      </c>
      <c r="E20" s="2">
        <f>+GETPIVOTDATA("ADJBAL",[2]AGTRAXDATA!$F$1,"BRANCH_NUMBER",151,"COMMODITY_CODE","02")/56</f>
        <v>0</v>
      </c>
      <c r="F20" s="2">
        <f>+GETPIVOTDATA("ADJBAL",[2]AGTRAXDATA!$F$1,"BRANCH_NUMBER",151,"COMMODITY_CODE","04")/56</f>
        <v>0</v>
      </c>
      <c r="G20" s="2">
        <f>+GETPIVOTDATA("ADJBAL",[2]AGTRAXDATA!$F$1,"BRANCH_NUMBER",151,"COMMODITY_CODE","03")/60</f>
        <v>0</v>
      </c>
      <c r="H20" s="2">
        <f>+GETPIVOTDATA("ADJBAL",[2]AGTRAXDATA!$F$1,"BRANCH_NUMBER",151,"COMMODITY_CODE","22")/25</f>
        <v>0</v>
      </c>
      <c r="I20" s="3">
        <v>0</v>
      </c>
      <c r="J20" s="3"/>
      <c r="K20" s="4">
        <f t="shared" si="0"/>
        <v>40925.949999999997</v>
      </c>
      <c r="L20" s="5"/>
      <c r="M20" s="2">
        <f>+GETPIVOTDATA("LBS_UPDATED",[2]SALESCONTRACTS!$E$1,"BRANCH_NUMBER",151,"COMMODITY_CODE","01")/60</f>
        <v>0</v>
      </c>
      <c r="N20" s="2">
        <f>+GETPIVOTDATA("LBS_UPDATED",[2]SALESCONTRACTS!$E$1,"BRANCH_NUMBER",151,"COMMODITY_CODE","02")/56</f>
        <v>0</v>
      </c>
      <c r="O20" s="2">
        <f>+GETPIVOTDATA("LBS_UPDATED",[2]SALESCONTRACTS!$E$1,"BRANCH_NUMBER",151,"COMMODITY_CODE","04")/56</f>
        <v>0</v>
      </c>
      <c r="P20" s="2">
        <f>+GETPIVOTDATA("LBS_UPDATED",[2]SALESCONTRACTS!$E$1,"BRANCH_NUMBER",151,"COMMODITY_CODE","03")/60</f>
        <v>0</v>
      </c>
      <c r="Q20" s="2">
        <f>+GETPIVOTDATA("LBS_UPDATED",[2]SALESCONTRACTS!$E$1,"BRANCH_NUMBER",151,"COMMODITY_CODE","22")/25</f>
        <v>0</v>
      </c>
      <c r="R20" s="5"/>
      <c r="S20" s="5"/>
      <c r="T20" s="5"/>
      <c r="U20" s="5"/>
      <c r="V20" s="31"/>
      <c r="W20" s="31"/>
      <c r="X20" s="7"/>
      <c r="Y20" s="4">
        <f t="shared" si="1"/>
        <v>40925.949999999997</v>
      </c>
      <c r="Z20" s="5"/>
      <c r="AA20" s="5"/>
      <c r="AB20" s="5"/>
      <c r="AC20" s="5"/>
      <c r="AD20" s="8">
        <f t="shared" si="2"/>
        <v>-40925.949999999997</v>
      </c>
      <c r="AE20" s="8"/>
      <c r="AF20" s="4">
        <f t="shared" si="3"/>
        <v>-40925.949999999997</v>
      </c>
      <c r="AG20" s="5"/>
      <c r="AH20" s="9"/>
      <c r="AI20" s="9"/>
      <c r="AJ20" s="10"/>
      <c r="AK20" s="6"/>
      <c r="AL20" s="7"/>
      <c r="AM20" s="31"/>
      <c r="AN20" s="31"/>
      <c r="AO20" s="7"/>
      <c r="AP20" s="4">
        <f t="shared" si="4"/>
        <v>-40925.949999999997</v>
      </c>
      <c r="AQ20" s="12"/>
      <c r="AR20" s="13"/>
      <c r="AS20" s="13"/>
      <c r="AT20" s="14"/>
      <c r="AU20" s="14"/>
      <c r="AV20" s="14"/>
      <c r="AW20" s="14"/>
      <c r="AX20" s="14"/>
      <c r="AY20" s="16"/>
      <c r="AZ20" s="4">
        <f t="shared" si="5"/>
        <v>-40925.949999999997</v>
      </c>
      <c r="BA20" s="18"/>
      <c r="BB20" s="14"/>
      <c r="BC20" s="14"/>
      <c r="BD20" s="14"/>
      <c r="BE20" s="16"/>
      <c r="BF20" s="4">
        <f t="shared" si="6"/>
        <v>-40925.949999999997</v>
      </c>
      <c r="BG20" s="18">
        <v>47000</v>
      </c>
      <c r="BH20" s="18"/>
      <c r="BI20" s="17"/>
      <c r="BJ20" s="18"/>
      <c r="BK20" s="18"/>
      <c r="BL20" s="19"/>
      <c r="BM20" s="20">
        <f t="shared" si="7"/>
        <v>6074.0500000000029</v>
      </c>
    </row>
    <row r="21" spans="1:65" ht="15" thickBot="1" x14ac:dyDescent="0.35">
      <c r="A21">
        <v>81</v>
      </c>
      <c r="B21" t="s">
        <v>193</v>
      </c>
      <c r="C21" s="1" t="s">
        <v>67</v>
      </c>
      <c r="D21" s="2">
        <f>+GETPIVOTDATA("ADJBAL",[2]AGTRAXDATA!$F$1,"BRANCH_NUMBER",81,"COMMODITY_CODE","01")/60</f>
        <v>3490.0833333333335</v>
      </c>
      <c r="E21" s="2">
        <f>+GETPIVOTDATA("ADJBAL",[2]AGTRAXDATA!$F$1,"BRANCH_NUMBER",81,"COMMODITY_CODE","02")/56</f>
        <v>0</v>
      </c>
      <c r="F21" s="2">
        <f>+GETPIVOTDATA("ADJBAL",[2]AGTRAXDATA!$F$1,"BRANCH_NUMBER",81,"COMMODITY_CODE","04")/56</f>
        <v>0</v>
      </c>
      <c r="G21" s="2">
        <f>+GETPIVOTDATA("ADJBAL",[2]AGTRAXDATA!$F$1,"BRANCH_NUMBER",81,"COMMODITY_CODE","03")/60</f>
        <v>0</v>
      </c>
      <c r="H21" s="2">
        <f>+GETPIVOTDATA("ADJBAL",[2]AGTRAXDATA!$F$1,"BRANCH_NUMBER",81,"COMMODITY_CODE","22")/25</f>
        <v>0</v>
      </c>
      <c r="I21" s="3">
        <v>0</v>
      </c>
      <c r="J21" s="3"/>
      <c r="K21" s="4">
        <f t="shared" si="0"/>
        <v>3490.0833333333335</v>
      </c>
      <c r="L21" s="5"/>
      <c r="M21" s="2">
        <f>+GETPIVOTDATA("LBS_UPDATED",[2]SALESCONTRACTS!$E$1,"BRANCH_NUMBER",81,"COMMODITY_CODE","01")/60</f>
        <v>275.06666666666666</v>
      </c>
      <c r="N21" s="2">
        <f>+GETPIVOTDATA("LBS_UPDATED",[2]SALESCONTRACTS!$E$1,"BRANCH_NUMBER",81,"COMMODITY_CODE","02")/56</f>
        <v>0</v>
      </c>
      <c r="O21" s="2">
        <f>+GETPIVOTDATA("LBS_UPDATED",[2]SALESCONTRACTS!$E$1,"BRANCH_NUMBER",81,"COMMODITY_CODE","04")/56</f>
        <v>0</v>
      </c>
      <c r="P21" s="2">
        <f>+GETPIVOTDATA("LBS_UPDATED",[2]SALESCONTRACTS!$E$1,"BRANCH_NUMBER",81,"COMMODITY_CODE","03")/60</f>
        <v>0</v>
      </c>
      <c r="Q21" s="2">
        <f>+GETPIVOTDATA("LBS_UPDATED",[2]SALESCONTRACTS!$E$1,"BRANCH_NUMBER",81,"COMMODITY_CODE","22")/25</f>
        <v>0</v>
      </c>
      <c r="R21" s="5"/>
      <c r="S21" s="5"/>
      <c r="T21" s="5"/>
      <c r="U21" s="5"/>
      <c r="V21" s="6"/>
      <c r="W21" s="6"/>
      <c r="X21" s="7"/>
      <c r="Y21" s="4">
        <f t="shared" si="1"/>
        <v>3215.0166666666669</v>
      </c>
      <c r="Z21" s="5"/>
      <c r="AA21" s="5">
        <v>184500</v>
      </c>
      <c r="AB21" s="5"/>
      <c r="AC21" s="5"/>
      <c r="AD21" s="8">
        <f t="shared" si="2"/>
        <v>181009.91666666666</v>
      </c>
      <c r="AE21" s="8"/>
      <c r="AF21" s="4">
        <f t="shared" si="3"/>
        <v>181284.98333333334</v>
      </c>
      <c r="AG21" s="5"/>
      <c r="AH21" s="33"/>
      <c r="AI21" s="33"/>
      <c r="AJ21" s="10"/>
      <c r="AK21" s="31"/>
      <c r="AL21" s="7"/>
      <c r="AM21" s="6">
        <v>215000</v>
      </c>
      <c r="AN21" s="6"/>
      <c r="AO21" s="7"/>
      <c r="AP21" s="4">
        <f t="shared" si="4"/>
        <v>-33715.016666666663</v>
      </c>
      <c r="AQ21" s="12"/>
      <c r="AR21" s="13"/>
      <c r="AS21" s="13"/>
      <c r="AT21" s="14"/>
      <c r="AU21" s="14"/>
      <c r="AV21" s="14"/>
      <c r="AW21" s="14"/>
      <c r="AX21" s="14"/>
      <c r="AY21" s="16"/>
      <c r="AZ21" s="4">
        <f t="shared" si="5"/>
        <v>-33715.016666666663</v>
      </c>
      <c r="BA21" s="14"/>
      <c r="BB21" s="14"/>
      <c r="BC21" s="14"/>
      <c r="BD21" s="14"/>
      <c r="BE21" s="16"/>
      <c r="BF21" s="4">
        <f t="shared" si="6"/>
        <v>-33715.016666666663</v>
      </c>
      <c r="BG21" s="18"/>
      <c r="BH21" s="18"/>
      <c r="BI21" s="17"/>
      <c r="BJ21" s="18"/>
      <c r="BK21" s="18"/>
      <c r="BL21" s="19"/>
      <c r="BM21" s="20">
        <f t="shared" si="7"/>
        <v>-33715.016666666663</v>
      </c>
    </row>
    <row r="22" spans="1:65" ht="15" thickBot="1" x14ac:dyDescent="0.35">
      <c r="A22">
        <v>185</v>
      </c>
      <c r="B22" t="s">
        <v>192</v>
      </c>
      <c r="C22" s="1" t="s">
        <v>68</v>
      </c>
      <c r="D22" s="2">
        <f>+GETPIVOTDATA("ADJBAL",[2]AGTRAXDATA!$F$1,"BRANCH_NUMBER",185,"COMMODITY_CODE","01")/60</f>
        <v>546279.6</v>
      </c>
      <c r="E22" s="2">
        <f>+GETPIVOTDATA("ADJBAL",[2]AGTRAXDATA!$F$1,"BRANCH_NUMBER",185,"COMMODITY_CODE","02")/56</f>
        <v>0</v>
      </c>
      <c r="F22" s="2">
        <f>+GETPIVOTDATA("ADJBAL",[2]AGTRAXDATA!$F$1,"BRANCH_NUMBER",185,"COMMODITY_CODE","04")/56</f>
        <v>0</v>
      </c>
      <c r="G22" s="2">
        <f>+GETPIVOTDATA("ADJBAL",[2]AGTRAXDATA!$F$1,"BRANCH_NUMBER",185,"COMMODITY_CODE","03")/60</f>
        <v>0</v>
      </c>
      <c r="H22" s="2">
        <f>+GETPIVOTDATA("ADJBAL",[2]AGTRAXDATA!$F$1,"BRANCH_NUMBER",185,"COMMODITY_CODE","22")/25</f>
        <v>0</v>
      </c>
      <c r="I22" s="3">
        <v>0</v>
      </c>
      <c r="J22" s="3"/>
      <c r="K22" s="4">
        <f t="shared" si="0"/>
        <v>546279.6</v>
      </c>
      <c r="L22" s="5"/>
      <c r="M22" s="2">
        <f>+GETPIVOTDATA("LBS_UPDATED",[2]SALESCONTRACTS!$E$1,"BRANCH_NUMBER",185,"COMMODITY_CODE","01")/60</f>
        <v>0</v>
      </c>
      <c r="N22" s="2">
        <f>+GETPIVOTDATA("LBS_UPDATED",[2]SALESCONTRACTS!$E$1,"BRANCH_NUMBER",185,"COMMODITY_CODE","02")/56</f>
        <v>0</v>
      </c>
      <c r="O22" s="2">
        <f>+GETPIVOTDATA("LBS_UPDATED",[2]SALESCONTRACTS!$E$1,"BRANCH_NUMBER",185,"COMMODITY_CODE","04")/56</f>
        <v>0</v>
      </c>
      <c r="P22" s="2">
        <f>+GETPIVOTDATA("LBS_UPDATED",[2]SALESCONTRACTS!$E$1,"BRANCH_NUMBER",185,"COMMODITY_CODE","03")/60</f>
        <v>0</v>
      </c>
      <c r="Q22" s="2">
        <f>+GETPIVOTDATA("LBS_UPDATED",[2]SALESCONTRACTS!$E$1,"BRANCH_NUMBER",185,"COMMODITY_CODE","22")/25</f>
        <v>0</v>
      </c>
      <c r="R22" s="5"/>
      <c r="S22" s="5"/>
      <c r="T22" s="5"/>
      <c r="U22" s="5"/>
      <c r="V22" s="6"/>
      <c r="W22" s="6"/>
      <c r="X22" s="7"/>
      <c r="Y22" s="4">
        <f t="shared" si="1"/>
        <v>546279.6</v>
      </c>
      <c r="Z22" s="5"/>
      <c r="AA22" s="5">
        <v>765000</v>
      </c>
      <c r="AB22" s="5"/>
      <c r="AC22" s="5"/>
      <c r="AD22" s="8">
        <f t="shared" si="2"/>
        <v>218720.40000000002</v>
      </c>
      <c r="AE22" s="8"/>
      <c r="AF22" s="4">
        <f t="shared" si="3"/>
        <v>218720.40000000002</v>
      </c>
      <c r="AG22" s="5"/>
      <c r="AH22" s="9"/>
      <c r="AI22" s="9"/>
      <c r="AJ22" s="10"/>
      <c r="AK22" s="6"/>
      <c r="AL22" s="7"/>
      <c r="AM22" s="6"/>
      <c r="AN22" s="6"/>
      <c r="AO22" s="7"/>
      <c r="AP22" s="4">
        <f t="shared" si="4"/>
        <v>218720.40000000002</v>
      </c>
      <c r="AQ22" s="12"/>
      <c r="AR22" s="13"/>
      <c r="AS22" s="13"/>
      <c r="AT22" s="12"/>
      <c r="AU22" s="14"/>
      <c r="AV22" s="14"/>
      <c r="AW22" s="14"/>
      <c r="AX22" s="14"/>
      <c r="AY22" s="16"/>
      <c r="AZ22" s="4">
        <f t="shared" si="5"/>
        <v>218720.40000000002</v>
      </c>
      <c r="BA22" s="14"/>
      <c r="BB22" s="14"/>
      <c r="BC22" s="14"/>
      <c r="BD22" s="14"/>
      <c r="BE22" s="16"/>
      <c r="BF22" s="4">
        <f t="shared" si="6"/>
        <v>218720.40000000002</v>
      </c>
      <c r="BG22" s="18"/>
      <c r="BH22" s="18"/>
      <c r="BI22" s="17"/>
      <c r="BJ22" s="18"/>
      <c r="BK22" s="18"/>
      <c r="BL22" s="19"/>
      <c r="BM22" s="20">
        <f t="shared" si="7"/>
        <v>218720.40000000002</v>
      </c>
    </row>
    <row r="23" spans="1:65" ht="15" thickBot="1" x14ac:dyDescent="0.35">
      <c r="A23">
        <v>205</v>
      </c>
      <c r="B23" t="s">
        <v>191</v>
      </c>
      <c r="C23" s="1" t="s">
        <v>69</v>
      </c>
      <c r="D23" s="2">
        <f>+GETPIVOTDATA("ADJBAL",[2]AGTRAXDATA!$F$1,"BRANCH_NUMBER",205,"COMMODITY_CODE","01")/60</f>
        <v>1071814.3833333333</v>
      </c>
      <c r="E23" s="2">
        <f>+GETPIVOTDATA("ADJBAL",[2]AGTRAXDATA!$F$1,"BRANCH_NUMBER",205,"COMMODITY_CODE","02")/56</f>
        <v>0</v>
      </c>
      <c r="F23" s="27">
        <f>+GETPIVOTDATA("ADJBAL",[2]AGTRAXDATA!$F$1,"BRANCH_NUMBER",205,"COMMODITY_CODE","04")/56</f>
        <v>6214.5892857142853</v>
      </c>
      <c r="G23" s="2">
        <f>+GETPIVOTDATA("ADJBAL",[2]AGTRAXDATA!$F$1,"BRANCH_NUMBER",205,"COMMODITY_CODE","03")/60</f>
        <v>534561.4</v>
      </c>
      <c r="H23" s="2">
        <f>+GETPIVOTDATA("ADJBAL",[2]AGTRAXDATA!$F$1,"BRANCH_NUMBER",205,"COMMODITY_CODE","22")/25</f>
        <v>0</v>
      </c>
      <c r="I23" s="3">
        <v>0</v>
      </c>
      <c r="J23" s="3"/>
      <c r="K23" s="4">
        <f t="shared" si="0"/>
        <v>1612590.3726190478</v>
      </c>
      <c r="L23" s="5"/>
      <c r="M23" s="2">
        <f>+GETPIVOTDATA("LBS_UPDATED",[2]SALESCONTRACTS!$E$1,"BRANCH_NUMBER",205,"COMMODITY_CODE","01")/60</f>
        <v>646.41666666666663</v>
      </c>
      <c r="N23" s="2">
        <f>+GETPIVOTDATA("LBS_UPDATED",[2]SALESCONTRACTS!$E$1,"BRANCH_NUMBER",205,"COMMODITY_CODE","02")/56</f>
        <v>0</v>
      </c>
      <c r="O23" s="2">
        <f>+GETPIVOTDATA("LBS_UPDATED",[2]SALESCONTRACTS!$E$1,"BRANCH_NUMBER",205,"COMMODITY_CODE","04")/56</f>
        <v>0</v>
      </c>
      <c r="P23" s="2">
        <f>+GETPIVOTDATA("LBS_UPDATED",[2]SALESCONTRACTS!$E$1,"BRANCH_NUMBER",205,"COMMODITY_CODE","03")/60</f>
        <v>0</v>
      </c>
      <c r="Q23" s="2">
        <f>+GETPIVOTDATA("LBS_UPDATED",[2]SALESCONTRACTS!$E$1,"BRANCH_NUMBER",205,"COMMODITY_CODE","22")/25</f>
        <v>0</v>
      </c>
      <c r="R23" s="5"/>
      <c r="S23" s="5"/>
      <c r="T23" s="5"/>
      <c r="U23" s="5"/>
      <c r="V23" s="6"/>
      <c r="W23" s="6"/>
      <c r="X23" s="7"/>
      <c r="Y23" s="4">
        <f t="shared" si="1"/>
        <v>1611943.955952381</v>
      </c>
      <c r="Z23" s="5"/>
      <c r="AA23" s="5">
        <v>1620000</v>
      </c>
      <c r="AB23" s="5"/>
      <c r="AC23" s="5"/>
      <c r="AD23" s="8">
        <f t="shared" si="2"/>
        <v>7409.627380952239</v>
      </c>
      <c r="AE23" s="8"/>
      <c r="AF23" s="4">
        <f t="shared" si="3"/>
        <v>8056.0440476189833</v>
      </c>
      <c r="AG23" s="5"/>
      <c r="AH23" s="9"/>
      <c r="AI23" s="9"/>
      <c r="AJ23" s="10"/>
      <c r="AK23" s="6"/>
      <c r="AL23" s="7"/>
      <c r="AM23" s="6">
        <v>100000</v>
      </c>
      <c r="AN23" s="6"/>
      <c r="AO23" s="7"/>
      <c r="AP23" s="4">
        <f t="shared" si="4"/>
        <v>-91943.955952381017</v>
      </c>
      <c r="AQ23" s="12"/>
      <c r="AR23" s="13"/>
      <c r="AS23" s="13"/>
      <c r="AT23" s="42"/>
      <c r="AU23" s="14"/>
      <c r="AV23" s="42">
        <v>6000</v>
      </c>
      <c r="AW23" s="14"/>
      <c r="AX23" s="14"/>
      <c r="AY23" s="16"/>
      <c r="AZ23" s="4">
        <f t="shared" si="5"/>
        <v>-85943.955952381017</v>
      </c>
      <c r="BA23" s="42"/>
      <c r="BB23" s="14"/>
      <c r="BC23" s="42"/>
      <c r="BD23" s="42"/>
      <c r="BE23" s="16"/>
      <c r="BF23" s="4">
        <f t="shared" si="6"/>
        <v>-85943.955952381017</v>
      </c>
      <c r="BG23" s="52"/>
      <c r="BH23" s="18"/>
      <c r="BI23" s="25"/>
      <c r="BJ23" s="52">
        <v>250000</v>
      </c>
      <c r="BK23" s="18"/>
      <c r="BL23" s="19"/>
      <c r="BM23" s="20">
        <f t="shared" si="7"/>
        <v>164056.04404761898</v>
      </c>
    </row>
    <row r="24" spans="1:65" ht="15" thickBot="1" x14ac:dyDescent="0.35">
      <c r="A24">
        <v>212</v>
      </c>
      <c r="B24" t="s">
        <v>190</v>
      </c>
      <c r="C24" s="1" t="s">
        <v>70</v>
      </c>
      <c r="D24" s="2">
        <f>+GETPIVOTDATA("ADJBAL",[2]AGTRAXDATA!$F$1,"BRANCH_NUMBER",212,"COMMODITY_CODE","01")/60</f>
        <v>414616.28333333333</v>
      </c>
      <c r="E24" s="2">
        <f>+GETPIVOTDATA("ADJBAL",[2]AGTRAXDATA!$F$1,"BRANCH_NUMBER",212,"COMMODITY_CODE","02")/56</f>
        <v>0</v>
      </c>
      <c r="F24" s="27">
        <f>+GETPIVOTDATA("ADJBAL",[2]AGTRAXDATA!$F$1,"BRANCH_NUMBER",212,"COMMODITY_CODE","04")/56</f>
        <v>119508.58928571429</v>
      </c>
      <c r="G24" s="2">
        <f>+GETPIVOTDATA("ADJBAL",[2]AGTRAXDATA!$F$1,"BRANCH_NUMBER",212,"COMMODITY_CODE","03")/60</f>
        <v>200054.3</v>
      </c>
      <c r="H24" s="2">
        <f>+GETPIVOTDATA("ADJBAL",[2]AGTRAXDATA!$F$1,"BRANCH_NUMBER",212,"COMMODITY_CODE","22")/25</f>
        <v>0</v>
      </c>
      <c r="I24" s="3"/>
      <c r="J24" s="3"/>
      <c r="K24" s="4">
        <f t="shared" si="0"/>
        <v>734179.17261904757</v>
      </c>
      <c r="L24" s="5"/>
      <c r="M24" s="2">
        <f>+GETPIVOTDATA("LBS_UPDATED",[2]SALESCONTRACTS!$E$1,"BRANCH_NUMBER",212,"COMMODITY_CODE","01")/60</f>
        <v>0</v>
      </c>
      <c r="N24" s="2">
        <f>+GETPIVOTDATA("LBS_UPDATED",[2]SALESCONTRACTS!$E$1,"BRANCH_NUMBER",212,"COMMODITY_CODE","02")/56</f>
        <v>0</v>
      </c>
      <c r="O24" s="2">
        <f>+GETPIVOTDATA("LBS_UPDATED",[2]SALESCONTRACTS!$E$1,"BRANCH_NUMBER",212,"COMMODITY_CODE","04")/56</f>
        <v>0</v>
      </c>
      <c r="P24" s="2">
        <f>+GETPIVOTDATA("LBS_UPDATED",[2]SALESCONTRACTS!$E$1,"BRANCH_NUMBER",212,"COMMODITY_CODE","03")/60</f>
        <v>281</v>
      </c>
      <c r="Q24" s="2">
        <f>+GETPIVOTDATA("LBS_UPDATED",[2]SALESCONTRACTS!$E$1,"BRANCH_NUMBER",212,"COMMODITY_CODE","22")/25</f>
        <v>0</v>
      </c>
      <c r="R24" s="5"/>
      <c r="S24" s="5"/>
      <c r="T24" s="5"/>
      <c r="U24" s="5"/>
      <c r="V24" s="6"/>
      <c r="W24" s="6"/>
      <c r="X24" s="7"/>
      <c r="Y24" s="4">
        <f t="shared" si="1"/>
        <v>733898.17261904757</v>
      </c>
      <c r="Z24" s="5"/>
      <c r="AA24" s="5">
        <v>1186200</v>
      </c>
      <c r="AB24" s="5"/>
      <c r="AC24" s="5"/>
      <c r="AD24" s="8">
        <f t="shared" si="2"/>
        <v>452020.82738095243</v>
      </c>
      <c r="AE24" s="8"/>
      <c r="AF24" s="4">
        <f t="shared" si="3"/>
        <v>452301.82738095243</v>
      </c>
      <c r="AG24" s="5"/>
      <c r="AH24" s="9"/>
      <c r="AI24" s="9"/>
      <c r="AJ24" s="10"/>
      <c r="AK24" s="6"/>
      <c r="AL24" s="7"/>
      <c r="AM24" s="6">
        <v>500000</v>
      </c>
      <c r="AN24" s="6"/>
      <c r="AO24" s="7"/>
      <c r="AP24" s="4">
        <f t="shared" si="4"/>
        <v>-47698.172619047575</v>
      </c>
      <c r="AQ24" s="12"/>
      <c r="AR24" s="13"/>
      <c r="AS24" s="13"/>
      <c r="AT24" s="14"/>
      <c r="AU24" s="14"/>
      <c r="AV24" s="14"/>
      <c r="AW24" s="12"/>
      <c r="AX24" s="14"/>
      <c r="AY24" s="16"/>
      <c r="AZ24" s="4">
        <f t="shared" si="5"/>
        <v>-47698.172619047575</v>
      </c>
      <c r="BA24" s="14"/>
      <c r="BB24" s="42"/>
      <c r="BC24" s="42">
        <v>45000</v>
      </c>
      <c r="BD24" s="14"/>
      <c r="BE24" s="16"/>
      <c r="BF24" s="4">
        <f t="shared" si="6"/>
        <v>-2698.1726190475747</v>
      </c>
      <c r="BG24" s="18"/>
      <c r="BH24" s="49"/>
      <c r="BI24" s="49"/>
      <c r="BJ24" s="14"/>
      <c r="BK24" s="18"/>
      <c r="BL24" s="19"/>
      <c r="BM24" s="20">
        <f t="shared" si="7"/>
        <v>-2698.1726190475747</v>
      </c>
    </row>
    <row r="25" spans="1:65" ht="15" thickBot="1" x14ac:dyDescent="0.35">
      <c r="A25">
        <v>215</v>
      </c>
      <c r="B25" t="s">
        <v>189</v>
      </c>
      <c r="C25" s="1" t="s">
        <v>71</v>
      </c>
      <c r="D25" s="2">
        <f>+GETPIVOTDATA("ADJBAL",[2]AGTRAXDATA!$F$1,"BRANCH_NUMBER",215,"COMMODITY_CODE","01")/60</f>
        <v>986387.9</v>
      </c>
      <c r="E25" s="2">
        <f>+GETPIVOTDATA("ADJBAL",[2]AGTRAXDATA!$F$1,"BRANCH_NUMBER",215,"COMMODITY_CODE","02")/56</f>
        <v>0</v>
      </c>
      <c r="F25" s="2">
        <f>+GETPIVOTDATA("ADJBAL",[2]AGTRAXDATA!$F$1,"BRANCH_NUMBER",215,"COMMODITY_CODE","04")/56</f>
        <v>809115.66071428568</v>
      </c>
      <c r="G25" s="2">
        <f>+GETPIVOTDATA("ADJBAL",[2]AGTRAXDATA!$F$1,"BRANCH_NUMBER",215,"COMMODITY_CODE","03")/60</f>
        <v>0</v>
      </c>
      <c r="H25" s="2">
        <f>+GETPIVOTDATA("ADJBAL",[2]AGTRAXDATA!$F$1,"BRANCH_NUMBER",215,"COMMODITY_CODE","22")/25</f>
        <v>0</v>
      </c>
      <c r="I25" s="3">
        <v>0</v>
      </c>
      <c r="J25" s="3"/>
      <c r="K25" s="4">
        <f t="shared" si="0"/>
        <v>1795503.5607142858</v>
      </c>
      <c r="L25" s="5"/>
      <c r="M25" s="2">
        <f>+GETPIVOTDATA("LBS_UPDATED",[2]SALESCONTRACTS!$E$1,"BRANCH_NUMBER",215,"COMMODITY_CODE","01")/60</f>
        <v>0</v>
      </c>
      <c r="N25" s="2">
        <f>+GETPIVOTDATA("LBS_UPDATED",[2]SALESCONTRACTS!$E$1,"BRANCH_NUMBER",215,"COMMODITY_CODE","02")/56</f>
        <v>0</v>
      </c>
      <c r="O25" s="2">
        <f>+GETPIVOTDATA("LBS_UPDATED",[2]SALESCONTRACTS!$E$1,"BRANCH_NUMBER",215,"COMMODITY_CODE","04")/56</f>
        <v>0</v>
      </c>
      <c r="P25" s="2">
        <f>+GETPIVOTDATA("LBS_UPDATED",[2]SALESCONTRACTS!$E$1,"BRANCH_NUMBER",215,"COMMODITY_CODE","03")/60</f>
        <v>0</v>
      </c>
      <c r="Q25" s="2">
        <f>+GETPIVOTDATA("LBS_UPDATED",[2]SALESCONTRACTS!$E$1,"BRANCH_NUMBER",215,"COMMODITY_CODE","22")/25</f>
        <v>0</v>
      </c>
      <c r="R25" s="5"/>
      <c r="S25" s="7"/>
      <c r="T25" s="7"/>
      <c r="U25" s="29"/>
      <c r="V25" s="29"/>
      <c r="W25" s="6"/>
      <c r="X25" s="7"/>
      <c r="Y25" s="4">
        <f t="shared" si="1"/>
        <v>1795503.5607142858</v>
      </c>
      <c r="Z25" s="5"/>
      <c r="AA25" s="5">
        <v>1875000</v>
      </c>
      <c r="AB25" s="5"/>
      <c r="AC25" s="5"/>
      <c r="AD25" s="8">
        <f t="shared" si="2"/>
        <v>79496.439285714179</v>
      </c>
      <c r="AE25" s="8"/>
      <c r="AF25" s="4">
        <f t="shared" si="3"/>
        <v>79496.439285714179</v>
      </c>
      <c r="AG25" s="29"/>
      <c r="AH25" s="9"/>
      <c r="AI25" s="9"/>
      <c r="AJ25" s="10"/>
      <c r="AK25" s="6"/>
      <c r="AL25" s="7"/>
      <c r="AM25" s="6"/>
      <c r="AN25" s="6"/>
      <c r="AO25" s="7"/>
      <c r="AP25" s="4">
        <f t="shared" si="4"/>
        <v>79496.439285714179</v>
      </c>
      <c r="AQ25" s="12"/>
      <c r="AR25" s="13"/>
      <c r="AS25" s="13"/>
      <c r="AT25" s="14"/>
      <c r="AU25" s="14"/>
      <c r="AV25" s="14"/>
      <c r="AW25" s="14"/>
      <c r="AX25" s="14"/>
      <c r="AY25" s="16"/>
      <c r="AZ25" s="4">
        <f t="shared" si="5"/>
        <v>79496.439285714179</v>
      </c>
      <c r="BA25" s="14"/>
      <c r="BB25" s="14"/>
      <c r="BC25" s="14">
        <v>809000</v>
      </c>
      <c r="BD25" s="14"/>
      <c r="BE25" s="16"/>
      <c r="BF25" s="4">
        <f t="shared" si="6"/>
        <v>888496.43928571418</v>
      </c>
      <c r="BG25" s="18"/>
      <c r="BH25" s="18"/>
      <c r="BI25" s="17"/>
      <c r="BJ25" s="18"/>
      <c r="BK25" s="18"/>
      <c r="BL25" s="19"/>
      <c r="BM25" s="20">
        <f t="shared" si="7"/>
        <v>888496.43928571418</v>
      </c>
    </row>
    <row r="26" spans="1:65" ht="15" thickBot="1" x14ac:dyDescent="0.35">
      <c r="A26">
        <v>222</v>
      </c>
      <c r="B26" t="s">
        <v>188</v>
      </c>
      <c r="C26" s="1" t="s">
        <v>72</v>
      </c>
      <c r="D26" s="2">
        <f>+GETPIVOTDATA("ADJBAL",[2]AGTRAXDATA!$F$1,"BRANCH_NUMBER",222,"COMMODITY_CODE","01")/60</f>
        <v>209212.6</v>
      </c>
      <c r="E26" s="2">
        <f>+GETPIVOTDATA("ADJBAL",[2]AGTRAXDATA!$F$1,"BRANCH_NUMBER",222,"COMMODITY_CODE","02")/56</f>
        <v>0</v>
      </c>
      <c r="F26" s="2">
        <f>+GETPIVOTDATA("ADJBAL",[2]AGTRAXDATA!$F$1,"BRANCH_NUMBER",222,"COMMODITY_CODE","04")/56</f>
        <v>11944.25</v>
      </c>
      <c r="G26" s="2">
        <f>+GETPIVOTDATA("ADJBAL",[2]AGTRAXDATA!$F$1,"BRANCH_NUMBER",222,"COMMODITY_CODE","03")/60</f>
        <v>148827.71666666667</v>
      </c>
      <c r="H26" s="2">
        <f>+GETPIVOTDATA("ADJBAL",[2]AGTRAXDATA!$F$1,"BRANCH_NUMBER",222,"COMMODITY_CODE","22")/25</f>
        <v>0</v>
      </c>
      <c r="I26" s="3">
        <v>0</v>
      </c>
      <c r="J26" s="3"/>
      <c r="K26" s="4">
        <f t="shared" si="0"/>
        <v>369984.56666666665</v>
      </c>
      <c r="L26" s="5"/>
      <c r="M26" s="2">
        <f>+GETPIVOTDATA("LBS_UPDATED",[2]SALESCONTRACTS!$E$1,"BRANCH_NUMBER",222,"COMMODITY_CODE","01")/60</f>
        <v>0</v>
      </c>
      <c r="N26" s="2">
        <f>+GETPIVOTDATA("LBS_UPDATED",[2]SALESCONTRACTS!$E$1,"BRANCH_NUMBER",222,"COMMODITY_CODE","02")/56</f>
        <v>0</v>
      </c>
      <c r="O26" s="2">
        <f>+GETPIVOTDATA("LBS_UPDATED",[2]SALESCONTRACTS!$E$1,"BRANCH_NUMBER",222,"COMMODITY_CODE","04")/56</f>
        <v>0</v>
      </c>
      <c r="P26" s="2">
        <f>+GETPIVOTDATA("LBS_UPDATED",[2]SALESCONTRACTS!$E$1,"BRANCH_NUMBER",222,"COMMODITY_CODE","03")/60</f>
        <v>112.33333333333333</v>
      </c>
      <c r="Q26" s="2">
        <f>+GETPIVOTDATA("LBS_UPDATED",[2]SALESCONTRACTS!$E$1,"BRANCH_NUMBER",222,"COMMODITY_CODE","22")/25</f>
        <v>0</v>
      </c>
      <c r="R26" s="5"/>
      <c r="S26" s="5"/>
      <c r="T26" s="5"/>
      <c r="U26" s="5"/>
      <c r="V26" s="6"/>
      <c r="W26" s="6"/>
      <c r="X26" s="7"/>
      <c r="Y26" s="4">
        <f t="shared" si="1"/>
        <v>369872.23333333334</v>
      </c>
      <c r="Z26" s="5"/>
      <c r="AA26" s="5">
        <v>463000</v>
      </c>
      <c r="AB26" s="5">
        <v>220000</v>
      </c>
      <c r="AC26" s="5"/>
      <c r="AD26" s="8">
        <f t="shared" si="2"/>
        <v>313015.43333333335</v>
      </c>
      <c r="AE26" s="8"/>
      <c r="AF26" s="4">
        <f t="shared" si="3"/>
        <v>313127.76666666666</v>
      </c>
      <c r="AG26" s="5"/>
      <c r="AH26" s="9"/>
      <c r="AI26" s="9"/>
      <c r="AJ26" s="10"/>
      <c r="AK26" s="6"/>
      <c r="AL26" s="7"/>
      <c r="AM26" s="6">
        <v>370000</v>
      </c>
      <c r="AN26" s="6"/>
      <c r="AO26" s="7"/>
      <c r="AP26" s="4">
        <f t="shared" si="4"/>
        <v>-56872.233333333337</v>
      </c>
      <c r="AQ26" s="12"/>
      <c r="AR26" s="13"/>
      <c r="AS26" s="13"/>
      <c r="AT26" s="14"/>
      <c r="AU26" s="15"/>
      <c r="AV26" s="14"/>
      <c r="AW26" s="14">
        <v>60000</v>
      </c>
      <c r="AX26" s="14"/>
      <c r="AY26" s="16"/>
      <c r="AZ26" s="4">
        <f t="shared" si="5"/>
        <v>3127.7666666666628</v>
      </c>
      <c r="BA26" s="14"/>
      <c r="BB26" s="42"/>
      <c r="BC26" s="14">
        <v>12000</v>
      </c>
      <c r="BD26" s="14"/>
      <c r="BE26" s="16"/>
      <c r="BF26" s="4">
        <f t="shared" si="6"/>
        <v>15127.766666666663</v>
      </c>
      <c r="BG26" s="18"/>
      <c r="BH26" s="52"/>
      <c r="BI26" s="17"/>
      <c r="BJ26" s="14"/>
      <c r="BK26" s="18"/>
      <c r="BL26" s="19"/>
      <c r="BM26" s="20">
        <f t="shared" si="7"/>
        <v>15127.766666666663</v>
      </c>
    </row>
    <row r="27" spans="1:65" ht="15" thickBot="1" x14ac:dyDescent="0.35">
      <c r="A27">
        <v>242</v>
      </c>
      <c r="B27" t="s">
        <v>187</v>
      </c>
      <c r="C27" s="1" t="s">
        <v>73</v>
      </c>
      <c r="D27" s="2">
        <f>+GETPIVOTDATA("ADJBAL",[2]AGTRAXDATA!$F$1,"BRANCH_NUMBER",242,"COMMODITY_CODE","01")/60</f>
        <v>386229.81666666665</v>
      </c>
      <c r="E27" s="2">
        <f>+GETPIVOTDATA("ADJBAL",[2]AGTRAXDATA!$F$1,"BRANCH_NUMBER",242,"COMMODITY_CODE","02")/56</f>
        <v>0</v>
      </c>
      <c r="F27" s="2">
        <f>+GETPIVOTDATA("ADJBAL",[2]AGTRAXDATA!$F$1,"BRANCH_NUMBER",242,"COMMODITY_CODE","04")/56</f>
        <v>211482.39285714287</v>
      </c>
      <c r="G27" s="2">
        <f>+GETPIVOTDATA("ADJBAL",[2]AGTRAXDATA!$F$1,"BRANCH_NUMBER",242,"COMMODITY_CODE","03")/60</f>
        <v>300088.68333333335</v>
      </c>
      <c r="H27" s="2">
        <f>+GETPIVOTDATA("ADJBAL",[2]AGTRAXDATA!$F$1,"BRANCH_NUMBER",242,"COMMODITY_CODE","22")/25</f>
        <v>0</v>
      </c>
      <c r="I27" s="3">
        <v>0</v>
      </c>
      <c r="J27" s="3"/>
      <c r="K27" s="4">
        <f t="shared" si="0"/>
        <v>897800.89285714284</v>
      </c>
      <c r="L27" s="5"/>
      <c r="M27" s="2">
        <f>+GETPIVOTDATA("LBS_UPDATED",[2]SALESCONTRACTS!$E$1,"BRANCH_NUMBER",242,"COMMODITY_CODE","01")/60</f>
        <v>0</v>
      </c>
      <c r="N27" s="2">
        <f>+GETPIVOTDATA("LBS_UPDATED",[2]SALESCONTRACTS!$E$1,"BRANCH_NUMBER",242,"COMMODITY_CODE","02")/56</f>
        <v>0</v>
      </c>
      <c r="O27" s="2">
        <f>+GETPIVOTDATA("LBS_UPDATED",[2]SALESCONTRACTS!$E$1,"BRANCH_NUMBER",242,"COMMODITY_CODE","04")/56</f>
        <v>10259.285714285714</v>
      </c>
      <c r="P27" s="2">
        <f>+GETPIVOTDATA("LBS_UPDATED",[2]SALESCONTRACTS!$E$1,"BRANCH_NUMBER",242,"COMMODITY_CODE","03")/60</f>
        <v>0</v>
      </c>
      <c r="Q27" s="2">
        <f>+GETPIVOTDATA("LBS_UPDATED",[2]SALESCONTRACTS!$E$1,"BRANCH_NUMBER",242,"COMMODITY_CODE","22")/25</f>
        <v>0</v>
      </c>
      <c r="R27" s="5"/>
      <c r="S27" s="5"/>
      <c r="T27" s="5"/>
      <c r="U27" s="5"/>
      <c r="V27" s="6"/>
      <c r="W27" s="6">
        <v>75000</v>
      </c>
      <c r="X27" s="7"/>
      <c r="Y27" s="4">
        <f t="shared" si="1"/>
        <v>812541.60714285716</v>
      </c>
      <c r="Z27" s="5"/>
      <c r="AA27" s="5">
        <v>1100000</v>
      </c>
      <c r="AB27" s="5"/>
      <c r="AC27" s="5"/>
      <c r="AD27" s="8">
        <f t="shared" si="2"/>
        <v>202199.10714285716</v>
      </c>
      <c r="AE27" s="8"/>
      <c r="AF27" s="4">
        <f t="shared" si="3"/>
        <v>287458.39285714284</v>
      </c>
      <c r="AG27" s="5"/>
      <c r="AH27" s="9"/>
      <c r="AI27" s="9"/>
      <c r="AJ27" s="10"/>
      <c r="AK27" s="6"/>
      <c r="AL27" s="7"/>
      <c r="AM27" s="11">
        <v>175000</v>
      </c>
      <c r="AN27" s="6"/>
      <c r="AO27" s="7"/>
      <c r="AP27" s="4">
        <f t="shared" si="4"/>
        <v>112458.39285714284</v>
      </c>
      <c r="AQ27" s="12"/>
      <c r="AR27" s="13"/>
      <c r="AS27" s="13"/>
      <c r="AT27" s="14"/>
      <c r="AU27" s="14"/>
      <c r="AV27" s="12"/>
      <c r="AW27" s="14"/>
      <c r="AX27" s="14"/>
      <c r="AY27" s="16"/>
      <c r="AZ27" s="4">
        <f t="shared" si="5"/>
        <v>112458.39285714284</v>
      </c>
      <c r="BA27" s="18">
        <v>92000</v>
      </c>
      <c r="BB27" s="42"/>
      <c r="BC27" s="14">
        <v>128000</v>
      </c>
      <c r="BD27" s="42"/>
      <c r="BE27" s="16"/>
      <c r="BF27" s="4">
        <f t="shared" si="6"/>
        <v>332458.39285714284</v>
      </c>
      <c r="BG27" s="18">
        <v>80000</v>
      </c>
      <c r="BH27" s="49"/>
      <c r="BI27" s="49"/>
      <c r="BJ27" s="52"/>
      <c r="BK27" s="18"/>
      <c r="BL27" s="19"/>
      <c r="BM27" s="20">
        <f t="shared" si="7"/>
        <v>412458.39285714284</v>
      </c>
    </row>
    <row r="28" spans="1:65" ht="15" thickBot="1" x14ac:dyDescent="0.35">
      <c r="A28">
        <v>245</v>
      </c>
      <c r="B28" t="s">
        <v>186</v>
      </c>
      <c r="C28" s="1" t="s">
        <v>74</v>
      </c>
      <c r="D28" s="2">
        <f>+GETPIVOTDATA("ADJBAL",[2]AGTRAXDATA!$F$1,"BRANCH_NUMBER",245,"COMMODITY_CODE","01")/60</f>
        <v>0</v>
      </c>
      <c r="E28" s="2">
        <f>+GETPIVOTDATA("ADJBAL",[2]AGTRAXDATA!$F$1,"BRANCH_NUMBER",245,"COMMODITY_CODE","02")/56</f>
        <v>0</v>
      </c>
      <c r="F28" s="2">
        <f>+GETPIVOTDATA("ADJBAL",[2]AGTRAXDATA!$F$1,"BRANCH_NUMBER",245,"COMMODITY_CODE","04")/56</f>
        <v>242364.60714285713</v>
      </c>
      <c r="G28" s="2">
        <f>+GETPIVOTDATA("ADJBAL",[2]AGTRAXDATA!$F$1,"BRANCH_NUMBER",245,"COMMODITY_CODE","03")/60</f>
        <v>0</v>
      </c>
      <c r="H28" s="2">
        <f>+GETPIVOTDATA("ADJBAL",[2]AGTRAXDATA!$F$1,"BRANCH_NUMBER",245,"COMMODITY_CODE","22")/25</f>
        <v>0</v>
      </c>
      <c r="I28" s="3">
        <v>0</v>
      </c>
      <c r="J28" s="3"/>
      <c r="K28" s="4">
        <f t="shared" si="0"/>
        <v>242364.60714285713</v>
      </c>
      <c r="L28" s="5"/>
      <c r="M28" s="2">
        <f>+GETPIVOTDATA("LBS_UPDATED",[2]SALESCONTRACTS!$E$1,"BRANCH_NUMBER",245,"COMMODITY_CODE","01")/60</f>
        <v>0</v>
      </c>
      <c r="N28" s="2">
        <f>+GETPIVOTDATA("LBS_UPDATED",[2]SALESCONTRACTS!$E$1,"BRANCH_NUMBER",245,"COMMODITY_CODE","02")/56</f>
        <v>0</v>
      </c>
      <c r="O28" s="2">
        <f>+GETPIVOTDATA("LBS_UPDATED",[2]SALESCONTRACTS!$E$1,"BRANCH_NUMBER",245,"COMMODITY_CODE","04")/56</f>
        <v>0</v>
      </c>
      <c r="P28" s="2">
        <f>+GETPIVOTDATA("LBS_UPDATED",[2]SALESCONTRACTS!$E$1,"BRANCH_NUMBER",245,"COMMODITY_CODE","03")/60</f>
        <v>0</v>
      </c>
      <c r="Q28" s="2">
        <f>+GETPIVOTDATA("LBS_UPDATED",[2]SALESCONTRACTS!$E$1,"BRANCH_NUMBER",245,"COMMODITY_CODE","22")/25</f>
        <v>0</v>
      </c>
      <c r="R28" s="5"/>
      <c r="S28" s="5"/>
      <c r="T28" s="5"/>
      <c r="U28" s="5"/>
      <c r="V28" s="6"/>
      <c r="W28" s="6"/>
      <c r="X28" s="7"/>
      <c r="Y28" s="4">
        <f t="shared" si="1"/>
        <v>242364.60714285713</v>
      </c>
      <c r="Z28" s="5"/>
      <c r="AA28" s="5"/>
      <c r="AB28" s="5">
        <v>375000</v>
      </c>
      <c r="AC28" s="5"/>
      <c r="AD28" s="8">
        <f t="shared" si="2"/>
        <v>132635.39285714287</v>
      </c>
      <c r="AE28" s="8"/>
      <c r="AF28" s="4">
        <f t="shared" si="3"/>
        <v>132635.39285714287</v>
      </c>
      <c r="AG28" s="5"/>
      <c r="AH28" s="9"/>
      <c r="AI28" s="9"/>
      <c r="AJ28" s="10"/>
      <c r="AK28" s="6"/>
      <c r="AL28" s="7"/>
      <c r="AM28" s="6"/>
      <c r="AN28" s="6"/>
      <c r="AO28" s="7"/>
      <c r="AP28" s="4">
        <f t="shared" si="4"/>
        <v>132635.39285714287</v>
      </c>
      <c r="AQ28" s="12"/>
      <c r="AR28" s="13"/>
      <c r="AS28" s="13"/>
      <c r="AT28" s="14"/>
      <c r="AU28" s="14"/>
      <c r="AV28" s="14"/>
      <c r="AW28" s="14"/>
      <c r="AX28" s="14"/>
      <c r="AY28" s="16"/>
      <c r="AZ28" s="4">
        <f t="shared" si="5"/>
        <v>132635.39285714287</v>
      </c>
      <c r="BA28" s="14"/>
      <c r="BB28" s="14"/>
      <c r="BC28" s="14">
        <v>242000</v>
      </c>
      <c r="BD28" s="14"/>
      <c r="BE28" s="16"/>
      <c r="BF28" s="4">
        <f t="shared" si="6"/>
        <v>374635.39285714284</v>
      </c>
      <c r="BG28" s="18"/>
      <c r="BH28" s="18"/>
      <c r="BI28" s="17"/>
      <c r="BJ28" s="18"/>
      <c r="BK28" s="18"/>
      <c r="BL28" s="19"/>
      <c r="BM28" s="20">
        <f t="shared" si="7"/>
        <v>374635.39285714284</v>
      </c>
    </row>
    <row r="29" spans="1:65" ht="15" thickBot="1" x14ac:dyDescent="0.35">
      <c r="A29">
        <v>252</v>
      </c>
      <c r="B29" t="s">
        <v>185</v>
      </c>
      <c r="C29" s="1" t="s">
        <v>75</v>
      </c>
      <c r="D29" s="2">
        <f>+GETPIVOTDATA("ADJBAL",[2]AGTRAXDATA!$F$1,"BRANCH_NUMBER",252,"COMMODITY_CODE","01")/60</f>
        <v>45447.033333333333</v>
      </c>
      <c r="E29" s="2">
        <f>+GETPIVOTDATA("ADJBAL",[2]AGTRAXDATA!$F$1,"BRANCH_NUMBER",252,"COMMODITY_CODE","02")/56</f>
        <v>0</v>
      </c>
      <c r="F29" s="2">
        <f>+GETPIVOTDATA("ADJBAL",[2]AGTRAXDATA!$F$1,"BRANCH_NUMBER",252,"COMMODITY_CODE","04")/56</f>
        <v>-110.53571428571429</v>
      </c>
      <c r="G29" s="2">
        <f>+GETPIVOTDATA("ADJBAL",[2]AGTRAXDATA!$F$1,"BRANCH_NUMBER",252,"COMMODITY_CODE","03")/60</f>
        <v>118120.51666666666</v>
      </c>
      <c r="H29" s="2">
        <f>+GETPIVOTDATA("ADJBAL",[2]AGTRAXDATA!$F$1,"BRANCH_NUMBER",252,"COMMODITY_CODE","22")/25</f>
        <v>0</v>
      </c>
      <c r="I29" s="3">
        <v>0</v>
      </c>
      <c r="J29" s="3"/>
      <c r="K29" s="4">
        <f t="shared" si="0"/>
        <v>163457.01428571428</v>
      </c>
      <c r="L29" s="5"/>
      <c r="M29" s="2">
        <f>+GETPIVOTDATA("LBS_UPDATED",[2]SALESCONTRACTS!$E$1,"BRANCH_NUMBER",252,"COMMODITY_CODE","01")/60</f>
        <v>0</v>
      </c>
      <c r="N29" s="2">
        <f>+GETPIVOTDATA("LBS_UPDATED",[2]SALESCONTRACTS!$E$1,"BRANCH_NUMBER",252,"COMMODITY_CODE","02")/56</f>
        <v>0</v>
      </c>
      <c r="O29" s="2">
        <f>+GETPIVOTDATA("LBS_UPDATED",[2]SALESCONTRACTS!$E$1,"BRANCH_NUMBER",252,"COMMODITY_CODE","04")/56</f>
        <v>0</v>
      </c>
      <c r="P29" s="2">
        <f>+GETPIVOTDATA("LBS_UPDATED",[2]SALESCONTRACTS!$E$1,"BRANCH_NUMBER",252,"COMMODITY_CODE","03")/60</f>
        <v>0</v>
      </c>
      <c r="Q29" s="2">
        <f>+GETPIVOTDATA("LBS_UPDATED",[2]SALESCONTRACTS!$E$1,"BRANCH_NUMBER",252,"COMMODITY_CODE","22")/25</f>
        <v>0</v>
      </c>
      <c r="R29" s="5"/>
      <c r="S29" s="5"/>
      <c r="T29" s="5"/>
      <c r="U29" s="5"/>
      <c r="V29" s="6"/>
      <c r="W29" s="6"/>
      <c r="X29" s="7"/>
      <c r="Y29" s="4">
        <f t="shared" si="1"/>
        <v>163457.01428571428</v>
      </c>
      <c r="Z29" s="5"/>
      <c r="AA29" s="5">
        <v>235800</v>
      </c>
      <c r="AB29" s="5"/>
      <c r="AC29" s="5"/>
      <c r="AD29" s="8">
        <f t="shared" si="2"/>
        <v>72342.985714285722</v>
      </c>
      <c r="AE29" s="8"/>
      <c r="AF29" s="4">
        <f t="shared" si="3"/>
        <v>72342.985714285722</v>
      </c>
      <c r="AG29" s="5"/>
      <c r="AH29" s="9"/>
      <c r="AI29" s="9"/>
      <c r="AJ29" s="10"/>
      <c r="AK29" s="6"/>
      <c r="AL29" s="7"/>
      <c r="AM29" s="6">
        <v>163000</v>
      </c>
      <c r="AN29" s="6"/>
      <c r="AO29" s="7"/>
      <c r="AP29" s="4">
        <f t="shared" si="4"/>
        <v>-90657.014285714278</v>
      </c>
      <c r="AQ29" s="12"/>
      <c r="AR29" s="13"/>
      <c r="AS29" s="13"/>
      <c r="AT29" s="14"/>
      <c r="AU29" s="15"/>
      <c r="AV29" s="14"/>
      <c r="AW29" s="14">
        <v>90000</v>
      </c>
      <c r="AX29" s="14"/>
      <c r="AY29" s="16"/>
      <c r="AZ29" s="4">
        <f t="shared" si="5"/>
        <v>-657.01428571427823</v>
      </c>
      <c r="BA29" s="14"/>
      <c r="BB29" s="14"/>
      <c r="BC29" s="14"/>
      <c r="BD29" s="14"/>
      <c r="BE29" s="16"/>
      <c r="BF29" s="4">
        <f t="shared" si="6"/>
        <v>-657.01428571427823</v>
      </c>
      <c r="BG29" s="18"/>
      <c r="BH29" s="18"/>
      <c r="BI29" s="17"/>
      <c r="BJ29" s="14"/>
      <c r="BK29" s="18"/>
      <c r="BL29" s="19"/>
      <c r="BM29" s="20">
        <f t="shared" si="7"/>
        <v>-657.01428571427823</v>
      </c>
    </row>
    <row r="30" spans="1:65" ht="15" thickBot="1" x14ac:dyDescent="0.35">
      <c r="A30">
        <v>262</v>
      </c>
      <c r="B30" t="s">
        <v>184</v>
      </c>
      <c r="C30" s="1" t="s">
        <v>76</v>
      </c>
      <c r="D30" s="2">
        <f>+GETPIVOTDATA("ADJBAL",[2]AGTRAXDATA!$F$1,"BRANCH_NUMBER",262,"COMMODITY_CODE","01")/60</f>
        <v>203554.43333333332</v>
      </c>
      <c r="E30" s="2">
        <f>+GETPIVOTDATA("ADJBAL",[2]AGTRAXDATA!$F$1,"BRANCH_NUMBER",262,"COMMODITY_CODE","02")/56</f>
        <v>0</v>
      </c>
      <c r="F30" s="2">
        <f>+GETPIVOTDATA("ADJBAL",[2]AGTRAXDATA!$F$1,"BRANCH_NUMBER",262,"COMMODITY_CODE","04")/56</f>
        <v>0</v>
      </c>
      <c r="G30" s="2">
        <f>+GETPIVOTDATA("ADJBAL",[2]AGTRAXDATA!$F$1,"BRANCH_NUMBER",262,"COMMODITY_CODE","03")/60</f>
        <v>130542.51666666666</v>
      </c>
      <c r="H30" s="2">
        <f>+GETPIVOTDATA("ADJBAL",[2]AGTRAXDATA!$F$1,"BRANCH_NUMBER",262,"COMMODITY_CODE","22")/25</f>
        <v>0</v>
      </c>
      <c r="I30" s="3">
        <v>0</v>
      </c>
      <c r="J30" s="3"/>
      <c r="K30" s="4">
        <f t="shared" si="0"/>
        <v>334096.94999999995</v>
      </c>
      <c r="L30" s="5"/>
      <c r="M30" s="2">
        <f>+GETPIVOTDATA("LBS_UPDATED",[2]SALESCONTRACTS!$E$1,"BRANCH_NUMBER",262,"COMMODITY_CODE","01")/60</f>
        <v>0</v>
      </c>
      <c r="N30" s="2">
        <f>+GETPIVOTDATA("LBS_UPDATED",[2]SALESCONTRACTS!$E$1,"BRANCH_NUMBER",262,"COMMODITY_CODE","02")/56</f>
        <v>0</v>
      </c>
      <c r="O30" s="2">
        <f>+GETPIVOTDATA("LBS_UPDATED",[2]SALESCONTRACTS!$E$1,"BRANCH_NUMBER",262,"COMMODITY_CODE","04")/56</f>
        <v>0</v>
      </c>
      <c r="P30" s="2">
        <f>+GETPIVOTDATA("LBS_UPDATED",[2]SALESCONTRACTS!$E$1,"BRANCH_NUMBER",262,"COMMODITY_CODE","03")/60</f>
        <v>0</v>
      </c>
      <c r="Q30" s="2">
        <f>+GETPIVOTDATA("LBS_UPDATED",[2]SALESCONTRACTS!$E$1,"BRANCH_NUMBER",262,"COMMODITY_CODE","22")/25</f>
        <v>0</v>
      </c>
      <c r="R30" s="5"/>
      <c r="S30" s="5"/>
      <c r="T30" s="5"/>
      <c r="U30" s="5"/>
      <c r="V30" s="6"/>
      <c r="W30" s="6"/>
      <c r="X30" s="7"/>
      <c r="Y30" s="4">
        <f t="shared" si="1"/>
        <v>334096.94999999995</v>
      </c>
      <c r="Z30" s="5"/>
      <c r="AA30" s="5">
        <v>388800</v>
      </c>
      <c r="AB30" s="5"/>
      <c r="AC30" s="5"/>
      <c r="AD30" s="8">
        <f t="shared" si="2"/>
        <v>54703.050000000047</v>
      </c>
      <c r="AE30" s="8"/>
      <c r="AF30" s="4">
        <f t="shared" si="3"/>
        <v>54703.050000000047</v>
      </c>
      <c r="AG30" s="5"/>
      <c r="AH30" s="9"/>
      <c r="AI30" s="9"/>
      <c r="AJ30" s="10"/>
      <c r="AK30" s="6"/>
      <c r="AL30" s="7"/>
      <c r="AM30" s="6">
        <v>165000</v>
      </c>
      <c r="AN30" s="6"/>
      <c r="AO30" s="7"/>
      <c r="AP30" s="4">
        <f t="shared" si="4"/>
        <v>-110296.94999999995</v>
      </c>
      <c r="AQ30" s="12"/>
      <c r="AR30" s="13"/>
      <c r="AS30" s="13"/>
      <c r="AT30" s="14"/>
      <c r="AU30" s="14"/>
      <c r="AV30" s="14"/>
      <c r="AW30" s="14"/>
      <c r="AX30" s="14"/>
      <c r="AY30" s="16"/>
      <c r="AZ30" s="4">
        <f t="shared" si="5"/>
        <v>-110296.94999999995</v>
      </c>
      <c r="BA30" s="14"/>
      <c r="BB30" s="14"/>
      <c r="BC30" s="14"/>
      <c r="BD30" s="14"/>
      <c r="BE30" s="16"/>
      <c r="BF30" s="4">
        <f t="shared" si="6"/>
        <v>-110296.94999999995</v>
      </c>
      <c r="BG30" s="18"/>
      <c r="BH30" s="14"/>
      <c r="BI30" s="17"/>
      <c r="BJ30" s="14">
        <v>115000</v>
      </c>
      <c r="BK30" s="18"/>
      <c r="BL30" s="19"/>
      <c r="BM30" s="20">
        <f t="shared" si="7"/>
        <v>4703.0500000000466</v>
      </c>
    </row>
    <row r="31" spans="1:65" ht="15" thickBot="1" x14ac:dyDescent="0.35">
      <c r="A31">
        <v>272</v>
      </c>
      <c r="B31" t="s">
        <v>183</v>
      </c>
      <c r="C31" s="1" t="s">
        <v>77</v>
      </c>
      <c r="D31" s="2">
        <f>+GETPIVOTDATA("ADJBAL",[2]AGTRAXDATA!$F$1,"BRANCH_NUMBER",272,"COMMODITY_CODE","01")/60</f>
        <v>214355.9</v>
      </c>
      <c r="E31" s="2">
        <f>+GETPIVOTDATA("ADJBAL",[2]AGTRAXDATA!$F$1,"BRANCH_NUMBER",272,"COMMODITY_CODE","02")/56</f>
        <v>-113.08928571428571</v>
      </c>
      <c r="F31" s="2">
        <f>+GETPIVOTDATA("ADJBAL",[2]AGTRAXDATA!$F$1,"BRANCH_NUMBER",272,"COMMODITY_CODE","04")/56</f>
        <v>303979.64285714284</v>
      </c>
      <c r="G31" s="2">
        <f>+GETPIVOTDATA("ADJBAL",[2]AGTRAXDATA!$F$1,"BRANCH_NUMBER",272,"COMMODITY_CODE","03")/60</f>
        <v>307478.83333333331</v>
      </c>
      <c r="H31" s="2">
        <f>+GETPIVOTDATA("ADJBAL",[2]AGTRAXDATA!$F$1,"BRANCH_NUMBER",272,"COMMODITY_CODE","22")/25</f>
        <v>0</v>
      </c>
      <c r="I31" s="3">
        <v>0</v>
      </c>
      <c r="J31" s="3"/>
      <c r="K31" s="4">
        <f t="shared" si="0"/>
        <v>825701.2869047618</v>
      </c>
      <c r="L31" s="5"/>
      <c r="M31" s="2">
        <f>+GETPIVOTDATA("LBS_UPDATED",[2]SALESCONTRACTS!$E$1,"BRANCH_NUMBER",272,"COMMODITY_CODE","01")/60</f>
        <v>0</v>
      </c>
      <c r="N31" s="2">
        <f>+GETPIVOTDATA("LBS_UPDATED",[2]SALESCONTRACTS!$E$1,"BRANCH_NUMBER",272,"COMMODITY_CODE","02")/56</f>
        <v>0</v>
      </c>
      <c r="O31" s="2">
        <f>+GETPIVOTDATA("LBS_UPDATED",[2]SALESCONTRACTS!$E$1,"BRANCH_NUMBER",272,"COMMODITY_CODE","04")/56</f>
        <v>0</v>
      </c>
      <c r="P31" s="2">
        <f>+GETPIVOTDATA("LBS_UPDATED",[2]SALESCONTRACTS!$E$1,"BRANCH_NUMBER",272,"COMMODITY_CODE","03")/60</f>
        <v>2222.6333333333332</v>
      </c>
      <c r="Q31" s="2">
        <f>+GETPIVOTDATA("LBS_UPDATED",[2]SALESCONTRACTS!$E$1,"BRANCH_NUMBER",272,"COMMODITY_CODE","22")/25</f>
        <v>0</v>
      </c>
      <c r="R31" s="5"/>
      <c r="S31" s="5"/>
      <c r="T31" s="5"/>
      <c r="U31" s="5"/>
      <c r="V31" s="31"/>
      <c r="W31" s="31"/>
      <c r="X31" s="7"/>
      <c r="Y31" s="4">
        <f t="shared" si="1"/>
        <v>823478.6535714285</v>
      </c>
      <c r="Z31" s="5"/>
      <c r="AA31" s="5">
        <v>760000</v>
      </c>
      <c r="AB31" s="5">
        <v>201600</v>
      </c>
      <c r="AC31" s="5"/>
      <c r="AD31" s="8">
        <f t="shared" si="2"/>
        <v>135898.7130952382</v>
      </c>
      <c r="AE31" s="8"/>
      <c r="AF31" s="4">
        <f t="shared" si="3"/>
        <v>138121.3464285715</v>
      </c>
      <c r="AG31" s="5"/>
      <c r="AH31" s="9"/>
      <c r="AI31" s="9"/>
      <c r="AJ31" s="10"/>
      <c r="AK31" s="6"/>
      <c r="AL31" s="7"/>
      <c r="AM31" s="36">
        <v>100000</v>
      </c>
      <c r="AN31" s="31"/>
      <c r="AO31" s="7"/>
      <c r="AP31" s="4">
        <f t="shared" si="4"/>
        <v>38121.346428571502</v>
      </c>
      <c r="AQ31" s="12"/>
      <c r="AR31" s="13"/>
      <c r="AS31" s="13"/>
      <c r="AT31" s="14"/>
      <c r="AU31" s="15"/>
      <c r="AV31" s="14"/>
      <c r="AW31" s="14"/>
      <c r="AX31" s="14"/>
      <c r="AY31" s="16"/>
      <c r="AZ31" s="4">
        <f t="shared" si="5"/>
        <v>38121.346428571502</v>
      </c>
      <c r="BA31" s="14"/>
      <c r="BB31" s="14"/>
      <c r="BC31" s="14"/>
      <c r="BD31" s="14"/>
      <c r="BE31" s="16"/>
      <c r="BF31" s="4">
        <f t="shared" si="6"/>
        <v>38121.346428571502</v>
      </c>
      <c r="BG31" s="18"/>
      <c r="BH31" s="18"/>
      <c r="BI31" s="17"/>
      <c r="BJ31" s="17">
        <v>30000</v>
      </c>
      <c r="BK31" s="18"/>
      <c r="BL31" s="19"/>
      <c r="BM31" s="20">
        <f t="shared" si="7"/>
        <v>68121.346428571502</v>
      </c>
    </row>
    <row r="32" spans="1:65" ht="15" thickBot="1" x14ac:dyDescent="0.35">
      <c r="A32">
        <v>292</v>
      </c>
      <c r="B32" t="s">
        <v>182</v>
      </c>
      <c r="C32" s="1" t="s">
        <v>78</v>
      </c>
      <c r="D32" s="2">
        <f>+GETPIVOTDATA("ADJBAL",[2]AGTRAXDATA!$F$1,"BRANCH_NUMBER",292,"COMMODITY_CODE","01")/60</f>
        <v>0</v>
      </c>
      <c r="E32" s="2">
        <f>+GETPIVOTDATA("ADJBAL",[2]AGTRAXDATA!$F$1,"BRANCH_NUMBER",292,"COMMODITY_CODE","02")/56</f>
        <v>-162.60714285714286</v>
      </c>
      <c r="F32" s="2">
        <f>+GETPIVOTDATA("ADJBAL",[2]AGTRAXDATA!$F$1,"BRANCH_NUMBER",292,"COMMODITY_CODE","04")/56</f>
        <v>28631.089285714286</v>
      </c>
      <c r="G32" s="2">
        <f>+GETPIVOTDATA("ADJBAL",[2]AGTRAXDATA!$F$1,"BRANCH_NUMBER",292,"COMMODITY_CODE","03")/60</f>
        <v>516871.7</v>
      </c>
      <c r="H32" s="2">
        <f>+GETPIVOTDATA("ADJBAL",[2]AGTRAXDATA!$F$1,"BRANCH_NUMBER",292,"COMMODITY_CODE","22")/25</f>
        <v>0</v>
      </c>
      <c r="I32" s="3">
        <v>0</v>
      </c>
      <c r="J32" s="3"/>
      <c r="K32" s="4">
        <f t="shared" si="0"/>
        <v>545340.18214285711</v>
      </c>
      <c r="L32" s="5"/>
      <c r="M32" s="2">
        <f>+GETPIVOTDATA("LBS_UPDATED",[2]SALESCONTRACTS!$E$1,"BRANCH_NUMBER",292,"COMMODITY_CODE","01")/60</f>
        <v>0</v>
      </c>
      <c r="N32" s="2">
        <f>+GETPIVOTDATA("LBS_UPDATED",[2]SALESCONTRACTS!$E$1,"BRANCH_NUMBER",292,"COMMODITY_CODE","02")/56</f>
        <v>0</v>
      </c>
      <c r="O32" s="2">
        <f>+GETPIVOTDATA("LBS_UPDATED",[2]SALESCONTRACTS!$E$1,"BRANCH_NUMBER",292,"COMMODITY_CODE","04")/56</f>
        <v>16465.910714285714</v>
      </c>
      <c r="P32" s="2">
        <f>+GETPIVOTDATA("LBS_UPDATED",[2]SALESCONTRACTS!$E$1,"BRANCH_NUMBER",292,"COMMODITY_CODE","03")/60</f>
        <v>-1.0833333333333333</v>
      </c>
      <c r="Q32" s="2">
        <f>+GETPIVOTDATA("LBS_UPDATED",[2]SALESCONTRACTS!$E$1,"BRANCH_NUMBER",292,"COMMODITY_CODE","22")/25</f>
        <v>0</v>
      </c>
      <c r="R32" s="5"/>
      <c r="S32" s="5"/>
      <c r="T32" s="5"/>
      <c r="U32" s="5"/>
      <c r="V32" s="6"/>
      <c r="W32" s="6"/>
      <c r="X32" s="7"/>
      <c r="Y32" s="4">
        <f t="shared" si="1"/>
        <v>528875.3547619048</v>
      </c>
      <c r="Z32" s="5"/>
      <c r="AA32" s="5">
        <v>900000</v>
      </c>
      <c r="AB32" s="5"/>
      <c r="AC32" s="5"/>
      <c r="AD32" s="8">
        <f t="shared" si="2"/>
        <v>354659.81785714289</v>
      </c>
      <c r="AE32" s="8"/>
      <c r="AF32" s="4">
        <f t="shared" si="3"/>
        <v>371124.6452380952</v>
      </c>
      <c r="AG32" s="5"/>
      <c r="AH32" s="9"/>
      <c r="AI32" s="9"/>
      <c r="AJ32" s="10"/>
      <c r="AK32" s="6"/>
      <c r="AL32" s="7"/>
      <c r="AM32" s="11">
        <v>200000</v>
      </c>
      <c r="AN32" s="6"/>
      <c r="AO32" s="7"/>
      <c r="AP32" s="4">
        <f t="shared" si="4"/>
        <v>171124.6452380952</v>
      </c>
      <c r="AQ32" s="12"/>
      <c r="AR32" s="13"/>
      <c r="AS32" s="13"/>
      <c r="AT32" s="14"/>
      <c r="AU32" s="14"/>
      <c r="AV32" s="14">
        <v>8000</v>
      </c>
      <c r="AW32" s="12"/>
      <c r="AX32" s="14"/>
      <c r="AY32" s="16"/>
      <c r="AZ32" s="4">
        <f t="shared" si="5"/>
        <v>179124.6452380952</v>
      </c>
      <c r="BA32" s="14"/>
      <c r="BB32" s="50"/>
      <c r="BC32" s="14"/>
      <c r="BD32" s="14"/>
      <c r="BE32" s="16"/>
      <c r="BF32" s="4">
        <f t="shared" si="6"/>
        <v>179124.6452380952</v>
      </c>
      <c r="BG32" s="18"/>
      <c r="BH32" s="18"/>
      <c r="BI32" s="17"/>
      <c r="BJ32" s="18"/>
      <c r="BK32" s="18"/>
      <c r="BL32" s="19"/>
      <c r="BM32" s="20">
        <f t="shared" si="7"/>
        <v>179124.6452380952</v>
      </c>
    </row>
    <row r="33" spans="1:65" ht="15" thickBot="1" x14ac:dyDescent="0.35">
      <c r="A33">
        <v>291</v>
      </c>
      <c r="B33" t="s">
        <v>181</v>
      </c>
      <c r="C33" s="1" t="s">
        <v>79</v>
      </c>
      <c r="D33" s="2">
        <f>+GETPIVOTDATA("ADJBAL",[2]AGTRAXDATA!$F$1,"BRANCH_NUMBER",291,"COMMODITY_CODE","01")/60</f>
        <v>0</v>
      </c>
      <c r="E33" s="2">
        <f>+GETPIVOTDATA("ADJBAL",[2]AGTRAXDATA!$F$1,"BRANCH_NUMBER",291,"COMMODITY_CODE","02")/56</f>
        <v>0</v>
      </c>
      <c r="F33" s="2">
        <f>+GETPIVOTDATA("ADJBAL",[2]AGTRAXDATA!$F$1,"BRANCH_NUMBER",291,"COMMODITY_CODE","04")/56</f>
        <v>0</v>
      </c>
      <c r="G33" s="2">
        <f>+GETPIVOTDATA("ADJBAL",[2]AGTRAXDATA!$F$1,"BRANCH_NUMBER",291,"COMMODITY_CODE","03")/60</f>
        <v>0</v>
      </c>
      <c r="H33" s="2">
        <f>+GETPIVOTDATA("ADJBAL",[2]AGTRAXDATA!$F$1,"BRANCH_NUMBER",292,"COMMODITY_CODE","22")/25</f>
        <v>0</v>
      </c>
      <c r="I33" s="3">
        <v>0</v>
      </c>
      <c r="J33" s="3"/>
      <c r="K33" s="4">
        <f t="shared" si="0"/>
        <v>0</v>
      </c>
      <c r="L33" s="5"/>
      <c r="M33" s="2">
        <f>+GETPIVOTDATA("LBS_UPDATED",[2]SALESCONTRACTS!$E$1,"BRANCH_NUMBER",291,"COMMODITY_CODE","01")/60</f>
        <v>0</v>
      </c>
      <c r="N33" s="2">
        <f>+GETPIVOTDATA("LBS_UPDATED",[2]SALESCONTRACTS!$E$1,"BRANCH_NUMBER",291,"COMMODITY_CODE","02")/56</f>
        <v>0</v>
      </c>
      <c r="O33" s="2">
        <f>+GETPIVOTDATA("LBS_UPDATED",[2]SALESCONTRACTS!$E$1,"BRANCH_NUMBER",291,"COMMODITY_CODE","04")/56</f>
        <v>739.28571428571433</v>
      </c>
      <c r="P33" s="2">
        <f>+GETPIVOTDATA("LBS_UPDATED",[2]SALESCONTRACTS!$E$1,"BRANCH_NUMBER",291,"COMMODITY_CODE","03")/60</f>
        <v>0</v>
      </c>
      <c r="Q33" s="2">
        <f>+GETPIVOTDATA("LBS_UPDATED",[2]SALESCONTRACTS!$E$1,"BRANCH_NUMBER",291,"COMMODITY_CODE","22")/25</f>
        <v>0</v>
      </c>
      <c r="R33" s="5"/>
      <c r="S33" s="5"/>
      <c r="T33" s="5"/>
      <c r="U33" s="5"/>
      <c r="V33" s="6"/>
      <c r="W33" s="6"/>
      <c r="X33" s="7"/>
      <c r="Y33" s="4">
        <f t="shared" si="1"/>
        <v>-739.28571428571433</v>
      </c>
      <c r="Z33" s="5"/>
      <c r="AA33" s="5">
        <v>500000</v>
      </c>
      <c r="AB33" s="5"/>
      <c r="AC33" s="5"/>
      <c r="AD33" s="8">
        <f t="shared" si="2"/>
        <v>500000</v>
      </c>
      <c r="AE33" s="8"/>
      <c r="AF33" s="4">
        <f t="shared" si="3"/>
        <v>500739.28571428574</v>
      </c>
      <c r="AG33" s="5"/>
      <c r="AH33" s="9"/>
      <c r="AI33" s="9"/>
      <c r="AJ33" s="10"/>
      <c r="AK33" s="6"/>
      <c r="AL33" s="7"/>
      <c r="AM33" s="6"/>
      <c r="AN33" s="6"/>
      <c r="AO33" s="7"/>
      <c r="AP33" s="4">
        <f t="shared" si="4"/>
        <v>500739.28571428574</v>
      </c>
      <c r="AQ33" s="12"/>
      <c r="AR33" s="13"/>
      <c r="AS33" s="13"/>
      <c r="AT33" s="14"/>
      <c r="AU33" s="14"/>
      <c r="AV33" s="14"/>
      <c r="AW33" s="14"/>
      <c r="AX33" s="14"/>
      <c r="AY33" s="16"/>
      <c r="AZ33" s="4">
        <f t="shared" si="5"/>
        <v>500739.28571428574</v>
      </c>
      <c r="BA33" s="14"/>
      <c r="BB33" s="14"/>
      <c r="BC33" s="14"/>
      <c r="BD33" s="13" t="s">
        <v>124</v>
      </c>
      <c r="BE33" s="16"/>
      <c r="BF33" s="4">
        <f t="shared" si="6"/>
        <v>500739.28571428574</v>
      </c>
      <c r="BG33" s="18"/>
      <c r="BH33" s="18"/>
      <c r="BI33" s="17"/>
      <c r="BJ33" s="13"/>
      <c r="BK33" s="18"/>
      <c r="BL33" s="19"/>
      <c r="BM33" s="20">
        <f t="shared" si="7"/>
        <v>500739.28571428574</v>
      </c>
    </row>
    <row r="34" spans="1:65" ht="15" thickBot="1" x14ac:dyDescent="0.35">
      <c r="A34">
        <v>187</v>
      </c>
      <c r="B34" t="s">
        <v>180</v>
      </c>
      <c r="C34" s="1" t="s">
        <v>80</v>
      </c>
      <c r="D34" s="2">
        <f>+GETPIVOTDATA("ADJBAL",[2]AGTRAXDATA!$F$1,"BRANCH_NUMBER",187,"COMMODITY_CODE","01")/60</f>
        <v>2365.9499999999998</v>
      </c>
      <c r="E34" s="2">
        <f>+GETPIVOTDATA("ADJBAL",[2]AGTRAXDATA!$F$1,"BRANCH_NUMBER",187,"COMMODITY_CODE","02")/56</f>
        <v>230643.51785714287</v>
      </c>
      <c r="F34" s="2">
        <f>+GETPIVOTDATA("ADJBAL",[2]AGTRAXDATA!$F$1,"BRANCH_NUMBER",187,"COMMODITY_CODE","04")/56</f>
        <v>312316.39285714284</v>
      </c>
      <c r="G34" s="2">
        <f>+GETPIVOTDATA("ADJBAL",[2]AGTRAXDATA!$F$1,"BRANCH_NUMBER",187,"COMMODITY_CODE","03")/60</f>
        <v>190089.18333333332</v>
      </c>
      <c r="H34" s="2">
        <f>+GETPIVOTDATA("ADJBAL",[2]AGTRAXDATA!$F$1,"BRANCH_NUMBER",187,"COMMODITY_CODE","22")/25</f>
        <v>0</v>
      </c>
      <c r="I34" s="3"/>
      <c r="J34" s="3"/>
      <c r="K34" s="4">
        <f t="shared" ref="K34:K65" si="8">SUM(D34:I34)</f>
        <v>735415.0440476191</v>
      </c>
      <c r="L34" s="5"/>
      <c r="M34" s="2">
        <f>+GETPIVOTDATA("LBS_UPDATED",[2]SALESCONTRACTS!$E$1,"BRANCH_NUMBER",187,"COMMODITY_CODE","01")/60</f>
        <v>0</v>
      </c>
      <c r="N34" s="2">
        <f>+GETPIVOTDATA("LBS_UPDATED",[2]SALESCONTRACTS!$E$1,"BRANCH_NUMBER",187,"COMMODITY_CODE","02")/56</f>
        <v>0</v>
      </c>
      <c r="O34" s="2">
        <f>+GETPIVOTDATA("LBS_UPDATED",[2]SALESCONTRACTS!$E$1,"BRANCH_NUMBER",187,"COMMODITY_CODE","04")/56</f>
        <v>0</v>
      </c>
      <c r="P34" s="2">
        <f>+GETPIVOTDATA("LBS_UPDATED",[2]SALESCONTRACTS!$E$1,"BRANCH_NUMBER",187,"COMMODITY_CODE","03")/60</f>
        <v>0</v>
      </c>
      <c r="Q34" s="2"/>
      <c r="R34" s="5"/>
      <c r="S34" s="5"/>
      <c r="T34" s="5"/>
      <c r="U34" s="5"/>
      <c r="V34" s="6"/>
      <c r="W34" s="6"/>
      <c r="X34" s="7"/>
      <c r="Y34" s="4">
        <f t="shared" ref="Y34:Y65" si="9">K34-M34-N34-O34-P34-Q34-R34-S34-T34-U34-V34-W34</f>
        <v>735415.0440476191</v>
      </c>
      <c r="Z34" s="5"/>
      <c r="AA34" s="5">
        <v>900000</v>
      </c>
      <c r="AB34" s="5"/>
      <c r="AC34" s="5"/>
      <c r="AD34" s="8">
        <f t="shared" ref="AD34:AD65" si="10">SUM(AA34:AC34)-K34</f>
        <v>164584.9559523809</v>
      </c>
      <c r="AE34" s="8"/>
      <c r="AF34" s="4">
        <f t="shared" ref="AF34:AF65" si="11">AA34+AB34-Y34</f>
        <v>164584.9559523809</v>
      </c>
      <c r="AG34" s="5"/>
      <c r="AH34" s="9"/>
      <c r="AI34" s="9"/>
      <c r="AJ34" s="10"/>
      <c r="AK34" s="6"/>
      <c r="AL34" s="7"/>
      <c r="AM34" s="11"/>
      <c r="AN34" s="6"/>
      <c r="AO34" s="7"/>
      <c r="AP34" s="4">
        <f t="shared" ref="AP34:AP65" si="12">AF34-AH34-AI34-AJ34-AK34-AM34-AN34</f>
        <v>164584.9559523809</v>
      </c>
      <c r="AQ34" s="12"/>
      <c r="AR34" s="13"/>
      <c r="AS34" s="13"/>
      <c r="AT34" s="14"/>
      <c r="AU34" s="14"/>
      <c r="AV34" s="14"/>
      <c r="AW34" s="15"/>
      <c r="AX34" s="14"/>
      <c r="AY34" s="16"/>
      <c r="AZ34" s="4">
        <f t="shared" ref="AZ34:AZ65" si="13">SUM(AP34:AX34)</f>
        <v>164584.9559523809</v>
      </c>
      <c r="BA34" s="14"/>
      <c r="BB34" s="14"/>
      <c r="BC34" s="14"/>
      <c r="BD34" s="14"/>
      <c r="BE34" s="16"/>
      <c r="BF34" s="4">
        <f t="shared" ref="BF34:BF65" si="14">SUM(AZ34:BD34)</f>
        <v>164584.9559523809</v>
      </c>
      <c r="BG34" s="18"/>
      <c r="BH34" s="18">
        <v>190000</v>
      </c>
      <c r="BI34" s="17"/>
      <c r="BJ34" s="18"/>
      <c r="BK34" s="18"/>
      <c r="BL34" s="19"/>
      <c r="BM34" s="20">
        <f t="shared" ref="BM34:BM65" si="15">SUM(BF34:BK34)</f>
        <v>354584.9559523809</v>
      </c>
    </row>
    <row r="35" spans="1:65" ht="15" thickBot="1" x14ac:dyDescent="0.35">
      <c r="A35">
        <v>188</v>
      </c>
      <c r="B35" t="s">
        <v>180</v>
      </c>
      <c r="C35" s="1" t="s">
        <v>81</v>
      </c>
      <c r="D35" s="2">
        <f>+GETPIVOTDATA("ADJBAL",[2]AGTRAXDATA!$F$1,"BRANCH_NUMBER",188,"COMMODITY_CODE","01")/60</f>
        <v>0</v>
      </c>
      <c r="E35" s="2">
        <f>+GETPIVOTDATA("ADJBAL",[2]AGTRAXDATA!$F$1,"BRANCH_NUMBER",188,"COMMODITY_CODE","02")/56</f>
        <v>0</v>
      </c>
      <c r="F35" s="2">
        <f>+GETPIVOTDATA("ADJBAL",[2]AGTRAXDATA!$F$1,"BRANCH_NUMBER",188,"COMMODITY_CODE","04")/56</f>
        <v>909618.03571428568</v>
      </c>
      <c r="G35" s="2">
        <f>+GETPIVOTDATA("ADJBAL",[2]AGTRAXDATA!$F$1,"BRANCH_NUMBER",188,"COMMODITY_CODE","03")/60</f>
        <v>0</v>
      </c>
      <c r="H35" s="2">
        <f>+GETPIVOTDATA("ADJBAL",[2]AGTRAXDATA!$F$1,"BRANCH_NUMBER",188,"COMMODITY_CODE","22")/25</f>
        <v>0</v>
      </c>
      <c r="I35" s="3"/>
      <c r="J35" s="3"/>
      <c r="K35" s="4">
        <f t="shared" si="8"/>
        <v>909618.03571428568</v>
      </c>
      <c r="L35" s="5"/>
      <c r="M35" s="2"/>
      <c r="N35" s="2"/>
      <c r="O35" s="2"/>
      <c r="P35" s="2"/>
      <c r="Q35" s="2"/>
      <c r="R35" s="5"/>
      <c r="S35" s="5"/>
      <c r="T35" s="5"/>
      <c r="U35" s="5"/>
      <c r="V35" s="6"/>
      <c r="W35" s="6"/>
      <c r="X35" s="7"/>
      <c r="Y35" s="4">
        <f t="shared" si="9"/>
        <v>909618.03571428568</v>
      </c>
      <c r="Z35" s="5"/>
      <c r="AA35" s="5"/>
      <c r="AB35" s="5">
        <v>900000</v>
      </c>
      <c r="AC35" s="5"/>
      <c r="AD35" s="8">
        <f t="shared" si="10"/>
        <v>-9618.035714285681</v>
      </c>
      <c r="AE35" s="8"/>
      <c r="AF35" s="4">
        <f t="shared" si="11"/>
        <v>-9618.035714285681</v>
      </c>
      <c r="AG35" s="5"/>
      <c r="AH35" s="9"/>
      <c r="AI35" s="9"/>
      <c r="AJ35" s="10"/>
      <c r="AK35" s="6"/>
      <c r="AL35" s="7"/>
      <c r="AM35" s="11">
        <v>500000</v>
      </c>
      <c r="AN35" s="6"/>
      <c r="AO35" s="7"/>
      <c r="AP35" s="4">
        <f t="shared" si="12"/>
        <v>-509618.03571428568</v>
      </c>
      <c r="AQ35" s="12"/>
      <c r="AR35" s="13"/>
      <c r="AS35" s="13"/>
      <c r="AT35" s="14"/>
      <c r="AU35" s="14"/>
      <c r="AV35" s="14">
        <v>400000</v>
      </c>
      <c r="AW35" s="14"/>
      <c r="AX35" s="14"/>
      <c r="AY35" s="16"/>
      <c r="AZ35" s="4">
        <f t="shared" si="13"/>
        <v>-109618.03571428568</v>
      </c>
      <c r="BA35" s="14"/>
      <c r="BB35" s="14"/>
      <c r="BC35" s="14"/>
      <c r="BD35" s="13"/>
      <c r="BE35" s="16"/>
      <c r="BF35" s="4">
        <f t="shared" si="14"/>
        <v>-109618.03571428568</v>
      </c>
      <c r="BG35" s="18"/>
      <c r="BH35" s="18"/>
      <c r="BI35" s="17">
        <v>510000</v>
      </c>
      <c r="BJ35" s="13"/>
      <c r="BK35" s="18"/>
      <c r="BL35" s="19"/>
      <c r="BM35" s="20">
        <f t="shared" si="15"/>
        <v>400381.96428571432</v>
      </c>
    </row>
    <row r="36" spans="1:65" ht="15" thickBot="1" x14ac:dyDescent="0.35">
      <c r="A36">
        <v>295</v>
      </c>
      <c r="B36" t="s">
        <v>179</v>
      </c>
      <c r="C36" s="1" t="s">
        <v>82</v>
      </c>
      <c r="D36" s="2">
        <f>+GETPIVOTDATA("ADJBAL",[2]AGTRAXDATA!$F$1,"BRANCH_NUMBER",295,"COMMODITY_CODE","01")/60</f>
        <v>66703.933333333334</v>
      </c>
      <c r="E36" s="2">
        <f>+GETPIVOTDATA("ADJBAL",[2]AGTRAXDATA!$F$1,"BRANCH_NUMBER",295,"COMMODITY_CODE","02")/56</f>
        <v>36230.160714285717</v>
      </c>
      <c r="F36" s="2">
        <f>+GETPIVOTDATA("ADJBAL",[2]AGTRAXDATA!$F$1,"BRANCH_NUMBER",295,"COMMODITY_CODE","04")/56</f>
        <v>686955.71428571432</v>
      </c>
      <c r="G36" s="2">
        <f>+GETPIVOTDATA("ADJBAL",[2]AGTRAXDATA!$F$1,"BRANCH_NUMBER",295,"COMMODITY_CODE","03")/60</f>
        <v>411688.05</v>
      </c>
      <c r="H36" s="2">
        <f>+GETPIVOTDATA("ADJBAL",[2]AGTRAXDATA!$F$1,"BRANCH_NUMBER",295,"COMMODITY_CODE","22")/25</f>
        <v>0</v>
      </c>
      <c r="I36" s="3"/>
      <c r="J36" s="3"/>
      <c r="K36" s="4">
        <f t="shared" si="8"/>
        <v>1201577.8583333334</v>
      </c>
      <c r="L36" s="5"/>
      <c r="M36" s="2">
        <f>+GETPIVOTDATA("LBS_UPDATED",[2]SALESCONTRACTS!$E$1,"BRANCH_NUMBER",295,"COMMODITY_CODE","01")/60</f>
        <v>0</v>
      </c>
      <c r="N36" s="2">
        <f>+GETPIVOTDATA("LBS_UPDATED",[2]SALESCONTRACTS!$E$1,"BRANCH_NUMBER",295,"COMMODITY_CODE","02")/56</f>
        <v>30579.285714285714</v>
      </c>
      <c r="O36" s="2">
        <f>+GETPIVOTDATA("LBS_UPDATED",[2]SALESCONTRACTS!$E$1,"BRANCH_NUMBER",295,"COMMODITY_CODE","04")/56</f>
        <v>0</v>
      </c>
      <c r="P36" s="2">
        <f>+GETPIVOTDATA("LBS_UPDATED",[2]SALESCONTRACTS!$E$1,"BRANCH_NUMBER",295,"COMMODITY_CODE","03")/60</f>
        <v>0</v>
      </c>
      <c r="Q36" s="2">
        <f>+GETPIVOTDATA("LBS_UPDATED",[2]SALESCONTRACTS!$E$1,"BRANCH_NUMBER",295,"COMMODITY_CODE","22")/25</f>
        <v>0</v>
      </c>
      <c r="R36" s="5"/>
      <c r="S36" s="5"/>
      <c r="T36" s="5"/>
      <c r="U36" s="5"/>
      <c r="V36" s="6"/>
      <c r="W36" s="6"/>
      <c r="X36" s="7"/>
      <c r="Y36" s="4">
        <f t="shared" si="9"/>
        <v>1170998.5726190477</v>
      </c>
      <c r="Z36" s="5"/>
      <c r="AA36" s="5">
        <v>1137000</v>
      </c>
      <c r="AB36" s="5">
        <v>130000</v>
      </c>
      <c r="AC36" s="5"/>
      <c r="AD36" s="8">
        <f t="shared" si="10"/>
        <v>65422.141666666605</v>
      </c>
      <c r="AE36" s="8"/>
      <c r="AF36" s="4">
        <f t="shared" si="11"/>
        <v>96001.427380952286</v>
      </c>
      <c r="AG36" s="5"/>
      <c r="AH36" s="9"/>
      <c r="AI36" s="9"/>
      <c r="AJ36" s="10"/>
      <c r="AK36" s="6"/>
      <c r="AL36" s="7"/>
      <c r="AM36" s="6">
        <v>48000</v>
      </c>
      <c r="AN36" s="6"/>
      <c r="AO36" s="7"/>
      <c r="AP36" s="4">
        <f t="shared" si="12"/>
        <v>48001.427380952286</v>
      </c>
      <c r="AQ36" s="12"/>
      <c r="AR36" s="13"/>
      <c r="AS36" s="13"/>
      <c r="AT36" s="14"/>
      <c r="AU36" s="45"/>
      <c r="AV36" s="14"/>
      <c r="AW36" s="14"/>
      <c r="AX36" s="14"/>
      <c r="AY36" s="16"/>
      <c r="AZ36" s="4">
        <f t="shared" si="13"/>
        <v>48001.427380952286</v>
      </c>
      <c r="BA36" s="14"/>
      <c r="BB36" s="14"/>
      <c r="BC36" s="14"/>
      <c r="BD36" s="14"/>
      <c r="BE36" s="16"/>
      <c r="BF36" s="4">
        <f t="shared" si="14"/>
        <v>48001.427380952286</v>
      </c>
      <c r="BG36" s="18"/>
      <c r="BH36" s="18"/>
      <c r="BI36" s="17"/>
      <c r="BJ36" s="18"/>
      <c r="BK36" s="18"/>
      <c r="BL36" s="19"/>
      <c r="BM36" s="20">
        <f t="shared" si="15"/>
        <v>48001.427380952286</v>
      </c>
    </row>
    <row r="37" spans="1:65" ht="15" thickBot="1" x14ac:dyDescent="0.35">
      <c r="A37">
        <v>294</v>
      </c>
      <c r="B37" t="s">
        <v>177</v>
      </c>
      <c r="C37" s="1" t="s">
        <v>83</v>
      </c>
      <c r="D37" s="2">
        <f>+GETPIVOTDATA("ADJBAL",[2]AGTRAXDATA!$F$1,"BRANCH_NUMBER",294,"COMMODITY_CODE","01")/60</f>
        <v>145638.15</v>
      </c>
      <c r="E37" s="2">
        <f>+GETPIVOTDATA("ADJBAL",[2]AGTRAXDATA!$F$1,"BRANCH_NUMBER",294,"COMMODITY_CODE","02")/56</f>
        <v>789.83928571428567</v>
      </c>
      <c r="F37" s="2">
        <f>+GETPIVOTDATA("ADJBAL",[2]AGTRAXDATA!$F$1,"BRANCH_NUMBER",294,"COMMODITY_CODE","04")/56</f>
        <v>67500.071428571435</v>
      </c>
      <c r="G37" s="2">
        <f>+GETPIVOTDATA("ADJBAL",[2]AGTRAXDATA!$F$1,"BRANCH_NUMBER",294,"COMMODITY_CODE","03")/60</f>
        <v>318681.56666666665</v>
      </c>
      <c r="H37" s="2">
        <f>+GETPIVOTDATA("ADJBAL",[2]AGTRAXDATA!$F$1,"BRANCH_NUMBER",294,"COMMODITY_CODE","22")/25</f>
        <v>0</v>
      </c>
      <c r="I37" s="3"/>
      <c r="J37" s="3"/>
      <c r="K37" s="4">
        <f t="shared" si="8"/>
        <v>532609.62738095236</v>
      </c>
      <c r="L37" s="5"/>
      <c r="M37" s="2">
        <f>+GETPIVOTDATA("LBS_UPDATED",[2]SALESCONTRACTS!$E$1,"BRANCH_NUMBER",294,"COMMODITY_CODE","01")/60</f>
        <v>0</v>
      </c>
      <c r="N37" s="2">
        <f>+GETPIVOTDATA("LBS_UPDATED",[2]SALESCONTRACTS!$E$1,"BRANCH_NUMBER",294,"COMMODITY_CODE","02")/56</f>
        <v>0</v>
      </c>
      <c r="O37" s="2">
        <f>+GETPIVOTDATA("LBS_UPDATED",[2]SALESCONTRACTS!$E$1,"BRANCH_NUMBER",294,"COMMODITY_CODE","04")/56</f>
        <v>0</v>
      </c>
      <c r="P37" s="2">
        <f>+GETPIVOTDATA("LBS_UPDATED",[2]SALESCONTRACTS!$E$1,"BRANCH_NUMBER",294,"COMMODITY_CODE","03")/60</f>
        <v>0</v>
      </c>
      <c r="Q37" s="2">
        <f>+GETPIVOTDATA("LBS_UPDATED",[2]SALESCONTRACTS!$E$1,"BRANCH_NUMBER",294,"COMMODITY_CODE","22")/25</f>
        <v>0</v>
      </c>
      <c r="R37" s="5"/>
      <c r="S37" s="5"/>
      <c r="T37" s="5"/>
      <c r="U37" s="5"/>
      <c r="V37" s="6"/>
      <c r="W37" s="6"/>
      <c r="X37" s="7"/>
      <c r="Y37" s="4">
        <f t="shared" si="9"/>
        <v>532609.62738095236</v>
      </c>
      <c r="Z37" s="5"/>
      <c r="AA37" s="5">
        <v>675000</v>
      </c>
      <c r="AB37" s="5"/>
      <c r="AC37" s="5"/>
      <c r="AD37" s="8">
        <f t="shared" si="10"/>
        <v>142390.37261904764</v>
      </c>
      <c r="AE37" s="8"/>
      <c r="AF37" s="4">
        <f t="shared" si="11"/>
        <v>142390.37261904764</v>
      </c>
      <c r="AG37" s="5"/>
      <c r="AH37" s="9"/>
      <c r="AI37" s="9"/>
      <c r="AJ37" s="10"/>
      <c r="AK37" s="6"/>
      <c r="AL37" s="7"/>
      <c r="AM37" s="11">
        <v>65000</v>
      </c>
      <c r="AN37" s="6"/>
      <c r="AO37" s="7"/>
      <c r="AP37" s="4">
        <f t="shared" si="12"/>
        <v>77390.372619047645</v>
      </c>
      <c r="AQ37" s="12"/>
      <c r="AR37" s="13"/>
      <c r="AS37" s="13"/>
      <c r="AT37" s="14"/>
      <c r="AU37" s="15"/>
      <c r="AV37" s="14"/>
      <c r="AW37" s="14"/>
      <c r="AX37" s="14"/>
      <c r="AY37" s="16"/>
      <c r="AZ37" s="4">
        <f t="shared" si="13"/>
        <v>77390.372619047645</v>
      </c>
      <c r="BA37" s="14"/>
      <c r="BB37" s="50"/>
      <c r="BC37" s="14"/>
      <c r="BD37" s="14"/>
      <c r="BE37" s="16"/>
      <c r="BF37" s="4">
        <f t="shared" si="14"/>
        <v>77390.372619047645</v>
      </c>
      <c r="BG37" s="18"/>
      <c r="BH37" s="18"/>
      <c r="BI37" s="17"/>
      <c r="BJ37" s="18"/>
      <c r="BK37" s="18"/>
      <c r="BL37" s="19"/>
      <c r="BM37" s="20">
        <f t="shared" si="15"/>
        <v>77390.372619047645</v>
      </c>
    </row>
    <row r="38" spans="1:65" ht="15" thickBot="1" x14ac:dyDescent="0.35">
      <c r="A38">
        <v>296</v>
      </c>
      <c r="B38" t="s">
        <v>178</v>
      </c>
      <c r="C38" s="1" t="s">
        <v>84</v>
      </c>
      <c r="D38" s="2">
        <f>+GETPIVOTDATA("ADJBAL",[2]AGTRAXDATA!$F$1,"BRANCH_NUMBER",296,"COMMODITY_CODE","01")/60</f>
        <v>0</v>
      </c>
      <c r="E38" s="2">
        <f>+GETPIVOTDATA("ADJBAL",[2]AGTRAXDATA!$F$1,"BRANCH_NUMBER",296,"COMMODITY_CODE","02")/56</f>
        <v>0</v>
      </c>
      <c r="F38" s="2">
        <f>+GETPIVOTDATA("ADJBAL",[2]AGTRAXDATA!$F$1,"BRANCH_NUMBER",296,"COMMODITY_CODE","04")/56</f>
        <v>418341.83928571426</v>
      </c>
      <c r="G38" s="2">
        <f>+GETPIVOTDATA("ADJBAL",[2]AGTRAXDATA!$F$1,"BRANCH_NUMBER",296,"COMMODITY_CODE","03")/60</f>
        <v>0</v>
      </c>
      <c r="H38" s="2">
        <f>+GETPIVOTDATA("ADJBAL",[2]AGTRAXDATA!$F$1,"BRANCH_NUMBER",296,"COMMODITY_CODE","22")/25</f>
        <v>0</v>
      </c>
      <c r="I38" s="3"/>
      <c r="J38" s="3"/>
      <c r="K38" s="4">
        <f t="shared" si="8"/>
        <v>418341.83928571426</v>
      </c>
      <c r="L38" s="5"/>
      <c r="M38" s="2">
        <f>+GETPIVOTDATA("LBS_UPDATED",[2]SALESCONTRACTS!$E$1,"BRANCH_NUMBER",296,"COMMODITY_CODE","01")/60</f>
        <v>0</v>
      </c>
      <c r="N38" s="2">
        <f>+GETPIVOTDATA("LBS_UPDATED",[2]SALESCONTRACTS!$E$1,"BRANCH_NUMBER",296,"COMMODITY_CODE","02")/56</f>
        <v>0</v>
      </c>
      <c r="O38" s="2">
        <f>+GETPIVOTDATA("LBS_UPDATED",[2]SALESCONTRACTS!$E$1,"BRANCH_NUMBER",296,"COMMODITY_CODE","04")/56</f>
        <v>0</v>
      </c>
      <c r="P38" s="2">
        <f>+GETPIVOTDATA("LBS_UPDATED",[2]SALESCONTRACTS!$E$1,"BRANCH_NUMBER",296,"COMMODITY_CODE","03")/60</f>
        <v>0</v>
      </c>
      <c r="Q38" s="2">
        <f>+GETPIVOTDATA("LBS_UPDATED",[2]SALESCONTRACTS!$E$1,"BRANCH_NUMBER",296,"COMMODITY_CODE","22")/25</f>
        <v>0</v>
      </c>
      <c r="R38" s="5"/>
      <c r="S38" s="5"/>
      <c r="T38" s="5"/>
      <c r="U38" s="5"/>
      <c r="V38" s="6"/>
      <c r="W38" s="6"/>
      <c r="X38" s="7"/>
      <c r="Y38" s="4">
        <f t="shared" si="9"/>
        <v>418341.83928571426</v>
      </c>
      <c r="Z38" s="5"/>
      <c r="AA38" s="5">
        <v>421662</v>
      </c>
      <c r="AB38" s="5"/>
      <c r="AC38" s="5"/>
      <c r="AD38" s="8">
        <f t="shared" si="10"/>
        <v>3320.1607142857392</v>
      </c>
      <c r="AE38" s="8"/>
      <c r="AF38" s="4">
        <f t="shared" si="11"/>
        <v>3320.1607142857392</v>
      </c>
      <c r="AG38" s="29"/>
      <c r="AH38" s="9"/>
      <c r="AI38" s="9"/>
      <c r="AJ38" s="10"/>
      <c r="AK38" s="6"/>
      <c r="AL38" s="7"/>
      <c r="AM38" s="6"/>
      <c r="AN38" s="6"/>
      <c r="AO38" s="7"/>
      <c r="AP38" s="4">
        <f t="shared" si="12"/>
        <v>3320.1607142857392</v>
      </c>
      <c r="AQ38" s="12"/>
      <c r="AR38" s="13"/>
      <c r="AS38" s="13"/>
      <c r="AT38" s="14"/>
      <c r="AU38" s="14"/>
      <c r="AV38" s="14"/>
      <c r="AW38" s="14"/>
      <c r="AX38" s="14"/>
      <c r="AY38" s="16"/>
      <c r="AZ38" s="4">
        <f t="shared" si="13"/>
        <v>3320.1607142857392</v>
      </c>
      <c r="BA38" s="48"/>
      <c r="BB38" s="14"/>
      <c r="BC38" s="14"/>
      <c r="BD38" s="13"/>
      <c r="BE38" s="16"/>
      <c r="BF38" s="4">
        <f t="shared" si="14"/>
        <v>3320.1607142857392</v>
      </c>
      <c r="BG38" s="52"/>
      <c r="BH38" s="18"/>
      <c r="BI38" s="17">
        <v>418000</v>
      </c>
      <c r="BJ38" s="13"/>
      <c r="BK38" s="18"/>
      <c r="BL38" s="19"/>
      <c r="BM38" s="20">
        <f t="shared" si="15"/>
        <v>421320.16071428574</v>
      </c>
    </row>
    <row r="39" spans="1:65" ht="15" thickBot="1" x14ac:dyDescent="0.35">
      <c r="A39">
        <v>293</v>
      </c>
      <c r="B39" t="s">
        <v>176</v>
      </c>
      <c r="C39" s="1" t="s">
        <v>85</v>
      </c>
      <c r="D39" s="2">
        <f>+GETPIVOTDATA("ADJBAL",[2]AGTRAXDATA!$F$1,"BRANCH_NUMBER",293,"COMMODITY_CODE","01")/60</f>
        <v>134454.1</v>
      </c>
      <c r="E39" s="2">
        <f>+GETPIVOTDATA("ADJBAL",[2]AGTRAXDATA!$F$1,"BRANCH_NUMBER",293,"COMMODITY_CODE","02")/56</f>
        <v>33904.303571428572</v>
      </c>
      <c r="F39" s="2">
        <f>+GETPIVOTDATA("ADJBAL",[2]AGTRAXDATA!$F$1,"BRANCH_NUMBER",293,"COMMODITY_CODE","04")/56</f>
        <v>416086.39285714284</v>
      </c>
      <c r="G39" s="2">
        <f>+GETPIVOTDATA("ADJBAL",[2]AGTRAXDATA!$F$1,"BRANCH_NUMBER",293,"COMMODITY_CODE","03")/60</f>
        <v>319986.48333333334</v>
      </c>
      <c r="H39" s="2">
        <f>+GETPIVOTDATA("ADJBAL",[2]AGTRAXDATA!$F$1,"BRANCH_NUMBER",293,"COMMODITY_CODE","22")/25</f>
        <v>0</v>
      </c>
      <c r="I39" s="3"/>
      <c r="J39" s="3"/>
      <c r="K39" s="4">
        <f t="shared" si="8"/>
        <v>904431.27976190485</v>
      </c>
      <c r="L39" s="5"/>
      <c r="M39" s="2">
        <f>+GETPIVOTDATA("LBS_UPDATED",[2]SALESCONTRACTS!$E$1,"BRANCH_NUMBER",293,"COMMODITY_CODE","01")/60</f>
        <v>0</v>
      </c>
      <c r="N39" s="2">
        <f>+GETPIVOTDATA("LBS_UPDATED",[2]SALESCONTRACTS!$E$1,"BRANCH_NUMBER",293,"COMMODITY_CODE","02")/56</f>
        <v>320.67857142857144</v>
      </c>
      <c r="O39" s="2">
        <f>+GETPIVOTDATA("LBS_UPDATED",[2]SALESCONTRACTS!$E$1,"BRANCH_NUMBER",293,"COMMODITY_CODE","04")/56</f>
        <v>8739.2857142857138</v>
      </c>
      <c r="P39" s="2">
        <f>+GETPIVOTDATA("LBS_UPDATED",[2]SALESCONTRACTS!$E$1,"BRANCH_NUMBER",293,"COMMODITY_CODE","03")/60</f>
        <v>0</v>
      </c>
      <c r="Q39" s="2">
        <f>+GETPIVOTDATA("LBS_UPDATED",[2]SALESCONTRACTS!$E$1,"BRANCH_NUMBER",293,"COMMODITY_CODE","22")/25</f>
        <v>0</v>
      </c>
      <c r="R39" s="5"/>
      <c r="S39" s="5"/>
      <c r="T39" s="5"/>
      <c r="U39" s="5"/>
      <c r="V39" s="6">
        <v>2500</v>
      </c>
      <c r="W39" s="6">
        <v>15000</v>
      </c>
      <c r="X39" s="7"/>
      <c r="Y39" s="4">
        <f t="shared" si="9"/>
        <v>877871.31547619065</v>
      </c>
      <c r="Z39" s="5"/>
      <c r="AA39" s="5">
        <v>1140000</v>
      </c>
      <c r="AB39" s="5"/>
      <c r="AC39" s="5"/>
      <c r="AD39" s="8">
        <f t="shared" si="10"/>
        <v>235568.72023809515</v>
      </c>
      <c r="AE39" s="8"/>
      <c r="AF39" s="4">
        <f t="shared" si="11"/>
        <v>262128.68452380935</v>
      </c>
      <c r="AG39" s="5"/>
      <c r="AH39" s="9"/>
      <c r="AI39" s="9"/>
      <c r="AJ39" s="10"/>
      <c r="AK39" s="6"/>
      <c r="AL39" s="7"/>
      <c r="AM39" s="11">
        <v>50000</v>
      </c>
      <c r="AN39" s="6"/>
      <c r="AO39" s="7"/>
      <c r="AP39" s="4">
        <f t="shared" si="12"/>
        <v>212128.68452380935</v>
      </c>
      <c r="AQ39" s="12"/>
      <c r="AR39" s="13"/>
      <c r="AS39" s="13"/>
      <c r="AT39" s="14"/>
      <c r="AU39" s="14"/>
      <c r="AV39" s="14"/>
      <c r="AW39" s="14"/>
      <c r="AX39" s="14"/>
      <c r="AY39" s="16"/>
      <c r="AZ39" s="4">
        <f t="shared" si="13"/>
        <v>212128.68452380935</v>
      </c>
      <c r="BA39" s="14"/>
      <c r="BB39" s="14"/>
      <c r="BC39" s="14"/>
      <c r="BD39" s="14"/>
      <c r="BE39" s="16"/>
      <c r="BF39" s="4">
        <f t="shared" si="14"/>
        <v>212128.68452380935</v>
      </c>
      <c r="BG39" s="18"/>
      <c r="BH39" s="18"/>
      <c r="BI39" s="14"/>
      <c r="BJ39" s="14"/>
      <c r="BK39" s="18"/>
      <c r="BL39" s="19"/>
      <c r="BM39" s="20">
        <f t="shared" si="15"/>
        <v>212128.68452380935</v>
      </c>
    </row>
    <row r="40" spans="1:65" ht="15" thickBot="1" x14ac:dyDescent="0.35">
      <c r="A40">
        <v>560</v>
      </c>
      <c r="B40" t="s">
        <v>175</v>
      </c>
      <c r="C40" s="1" t="s">
        <v>86</v>
      </c>
      <c r="D40" s="2">
        <f>+GETPIVOTDATA("ADJBAL",[2]AGTRAXDATA!$F$1,"BRANCH_NUMBER",560,"COMMODITY_CODE","01")/60</f>
        <v>396762.1</v>
      </c>
      <c r="E40" s="2">
        <f>+GETPIVOTDATA("ADJBAL",[2]AGTRAXDATA!$F$1,"BRANCH_NUMBER",560,"COMMODITY_CODE","02")/56</f>
        <v>173152.07142857142</v>
      </c>
      <c r="F40" s="2">
        <f>+GETPIVOTDATA("ADJBAL",[2]AGTRAXDATA!$F$1,"BRANCH_NUMBER",560,"COMMODITY_CODE","04")/56</f>
        <v>235244.73214285713</v>
      </c>
      <c r="G40" s="2">
        <f>+GETPIVOTDATA("ADJBAL",[2]AGTRAXDATA!$F$1,"BRANCH_NUMBER",560,"COMMODITY_CODE","03")/60</f>
        <v>1258887.3500000001</v>
      </c>
      <c r="H40" s="2">
        <f>+GETPIVOTDATA("ADJBAL",[2]AGTRAXDATA!$F$1,"BRANCH_NUMBER",560,"COMMODITY_CODE","22")/25</f>
        <v>0</v>
      </c>
      <c r="I40" s="3"/>
      <c r="J40" s="3"/>
      <c r="K40" s="4">
        <f t="shared" si="8"/>
        <v>2064046.2535714288</v>
      </c>
      <c r="L40" s="5"/>
      <c r="M40" s="2">
        <f>+GETPIVOTDATA("LBS_UPDATED",[2]SALESCONTRACTS!$E$1,"BRANCH_NUMBER",560,"COMMODITY_CODE","01")/60</f>
        <v>2799135.7666666666</v>
      </c>
      <c r="N40" s="2">
        <f>+GETPIVOTDATA("LBS_UPDATED",[2]SALESCONTRACTS!$E$1,"BRANCH_NUMBER",560,"COMMODITY_CODE","02")/56</f>
        <v>0</v>
      </c>
      <c r="O40" s="2">
        <f>+GETPIVOTDATA("LBS_UPDATED",[2]SALESCONTRACTS!$E$1,"BRANCH_NUMBER",560,"COMMODITY_CODE","04")/56</f>
        <v>2580000</v>
      </c>
      <c r="P40" s="2">
        <f>+GETPIVOTDATA("LBS_UPDATED",[2]SALESCONTRACTS!$E$1,"BRANCH_NUMBER",560,"COMMODITY_CODE","03")/60</f>
        <v>0</v>
      </c>
      <c r="Q40" s="2">
        <f>+GETPIVOTDATA("LBS_UPDATED",[2]SALESCONTRACTS!$E$1,"BRANCH_NUMBER",560,"COMMODITY_CODE","22")/25</f>
        <v>0</v>
      </c>
      <c r="R40" s="5"/>
      <c r="S40" s="5"/>
      <c r="T40" s="5"/>
      <c r="U40" s="5"/>
      <c r="V40" s="6"/>
      <c r="W40" s="6"/>
      <c r="X40" s="2"/>
      <c r="Y40" s="4">
        <f t="shared" si="9"/>
        <v>-3315089.5130952378</v>
      </c>
      <c r="Z40" s="5"/>
      <c r="AA40" s="5">
        <v>2800000</v>
      </c>
      <c r="AB40" s="5"/>
      <c r="AC40" s="5"/>
      <c r="AD40" s="8">
        <f t="shared" si="10"/>
        <v>735953.74642857118</v>
      </c>
      <c r="AE40" s="8"/>
      <c r="AF40" s="4">
        <f t="shared" si="11"/>
        <v>6115089.5130952373</v>
      </c>
      <c r="AG40" s="5"/>
      <c r="AH40" s="9"/>
      <c r="AI40" s="29"/>
      <c r="AJ40" s="10"/>
      <c r="AK40" s="6"/>
      <c r="AL40" s="7"/>
      <c r="AM40" s="11">
        <v>2000000</v>
      </c>
      <c r="AN40" s="6"/>
      <c r="AO40" s="7"/>
      <c r="AP40" s="4">
        <f t="shared" si="12"/>
        <v>4115089.5130952373</v>
      </c>
      <c r="AQ40" s="12"/>
      <c r="AR40" s="13"/>
      <c r="AS40" s="13"/>
      <c r="AT40" s="14"/>
      <c r="AU40" s="14"/>
      <c r="AV40" s="14"/>
      <c r="AW40" s="14"/>
      <c r="AX40" s="14"/>
      <c r="AY40" s="16"/>
      <c r="AZ40" s="4">
        <f t="shared" si="13"/>
        <v>4115089.5130952373</v>
      </c>
      <c r="BA40" s="14">
        <v>397000</v>
      </c>
      <c r="BB40" s="14"/>
      <c r="BC40" s="51">
        <v>233000</v>
      </c>
      <c r="BD40" s="13"/>
      <c r="BE40" s="16"/>
      <c r="BF40" s="4">
        <f t="shared" si="14"/>
        <v>4745089.5130952373</v>
      </c>
      <c r="BG40" s="18"/>
      <c r="BH40" s="53">
        <v>170000</v>
      </c>
      <c r="BI40" s="53"/>
      <c r="BJ40" s="53">
        <v>1200000</v>
      </c>
      <c r="BK40" s="18"/>
      <c r="BL40" s="19"/>
      <c r="BM40" s="20">
        <f t="shared" si="15"/>
        <v>6115089.5130952373</v>
      </c>
    </row>
    <row r="41" spans="1:65" ht="15" thickBot="1" x14ac:dyDescent="0.35">
      <c r="A41">
        <v>561</v>
      </c>
      <c r="B41" t="s">
        <v>174</v>
      </c>
      <c r="C41" s="1" t="s">
        <v>87</v>
      </c>
      <c r="D41" s="2">
        <f>+GETPIVOTDATA("ADJBAL",[2]AGTRAXDATA!$F$1,"BRANCH_NUMBER",561,"COMMODITY_CODE","01")/60</f>
        <v>4183350.7166666668</v>
      </c>
      <c r="E41" s="2">
        <f>+GETPIVOTDATA("ADJBAL",[2]AGTRAXDATA!$F$1,"BRANCH_NUMBER",561,"COMMODITY_CODE","02")/56</f>
        <v>0</v>
      </c>
      <c r="F41" s="2">
        <f>+GETPIVOTDATA("ADJBAL",[2]AGTRAXDATA!$F$1,"BRANCH_NUMBER",561,"COMMODITY_CODE","04")/56</f>
        <v>0</v>
      </c>
      <c r="G41" s="2">
        <f>+GETPIVOTDATA("ADJBAL",[2]AGTRAXDATA!$F$1,"BRANCH_NUMBER",561,"COMMODITY_CODE","03")/60</f>
        <v>0</v>
      </c>
      <c r="H41" s="2">
        <f>+GETPIVOTDATA("ADJBAL",[2]AGTRAXDATA!$F$1,"BRANCH_NUMBER",561,"COMMODITY_CODE","22")/25</f>
        <v>0</v>
      </c>
      <c r="I41" s="3">
        <v>0</v>
      </c>
      <c r="J41" s="3"/>
      <c r="K41" s="4">
        <f t="shared" si="8"/>
        <v>4183350.7166666668</v>
      </c>
      <c r="L41" s="5"/>
      <c r="M41" s="2">
        <f>+GETPIVOTDATA("LBS_UPDATED",[2]SALESCONTRACTS!$E$1,"BRANCH_NUMBER",561,"COMMODITY_CODE","01")/60</f>
        <v>0</v>
      </c>
      <c r="N41" s="2">
        <f>+GETPIVOTDATA("LBS_UPDATED",[2]SALESCONTRACTS!$E$1,"BRANCH_NUMBER",561,"COMMODITY_CODE","02")/56</f>
        <v>0</v>
      </c>
      <c r="O41" s="2">
        <f>+GETPIVOTDATA("LBS_UPDATED",[2]SALESCONTRACTS!$E$1,"BRANCH_NUMBER",561,"COMMODITY_CODE","04")/56</f>
        <v>0</v>
      </c>
      <c r="P41" s="2">
        <f>+GETPIVOTDATA("LBS_UPDATED",[2]SALESCONTRACTS!$E$1,"BRANCH_NUMBER",561,"COMMODITY_CODE","03")/60</f>
        <v>0</v>
      </c>
      <c r="Q41" s="2">
        <f>+GETPIVOTDATA("LBS_UPDATED",[2]SALESCONTRACTS!$E$1,"BRANCH_NUMBER",561,"COMMODITY_CODE","22")/25</f>
        <v>0</v>
      </c>
      <c r="R41" s="5"/>
      <c r="S41" s="5"/>
      <c r="T41" s="5"/>
      <c r="U41" s="5"/>
      <c r="V41" s="6"/>
      <c r="W41" s="6"/>
      <c r="X41" s="7"/>
      <c r="Y41" s="4">
        <f t="shared" si="9"/>
        <v>4183350.7166666668</v>
      </c>
      <c r="Z41" s="5"/>
      <c r="AA41" s="5">
        <v>4183351</v>
      </c>
      <c r="AB41" s="5"/>
      <c r="AC41" s="5"/>
      <c r="AD41" s="8">
        <f t="shared" si="10"/>
        <v>0.28333333320915699</v>
      </c>
      <c r="AE41" s="8"/>
      <c r="AF41" s="4">
        <f t="shared" si="11"/>
        <v>0.28333333320915699</v>
      </c>
      <c r="AG41" s="29"/>
      <c r="AH41" s="9"/>
      <c r="AI41" s="9"/>
      <c r="AJ41" s="10"/>
      <c r="AK41" s="6"/>
      <c r="AL41" s="7"/>
      <c r="AM41" s="11">
        <v>2000000</v>
      </c>
      <c r="AN41" s="6"/>
      <c r="AO41" s="7"/>
      <c r="AP41" s="4">
        <f t="shared" si="12"/>
        <v>-1999999.7166666668</v>
      </c>
      <c r="AQ41" s="12"/>
      <c r="AR41" s="13"/>
      <c r="AS41" s="13"/>
      <c r="AT41" s="14"/>
      <c r="AU41" s="14"/>
      <c r="AV41" s="14"/>
      <c r="AW41" s="14"/>
      <c r="AX41" s="14"/>
      <c r="AY41" s="16"/>
      <c r="AZ41" s="4">
        <f t="shared" si="13"/>
        <v>-1999999.7166666668</v>
      </c>
      <c r="BA41" s="14">
        <v>1604000</v>
      </c>
      <c r="BB41" s="14"/>
      <c r="BC41" s="14"/>
      <c r="BD41" s="13"/>
      <c r="BE41" s="16"/>
      <c r="BF41" s="4">
        <f t="shared" si="14"/>
        <v>-395999.71666666679</v>
      </c>
      <c r="BG41" s="53">
        <v>396000</v>
      </c>
      <c r="BH41" s="18"/>
      <c r="BI41" s="17"/>
      <c r="BJ41" s="13"/>
      <c r="BK41" s="18"/>
      <c r="BL41" s="19"/>
      <c r="BM41" s="20">
        <f t="shared" si="15"/>
        <v>0.28333333320915699</v>
      </c>
    </row>
    <row r="42" spans="1:65" ht="15" thickBot="1" x14ac:dyDescent="0.35">
      <c r="A42">
        <v>311</v>
      </c>
      <c r="B42" t="s">
        <v>173</v>
      </c>
      <c r="C42" s="1" t="s">
        <v>0</v>
      </c>
      <c r="D42" s="2">
        <f>+GETPIVOTDATA("ADJBAL",[2]AGTRAXDATA!$F$1,"BRANCH_NUMBER",311,"COMMODITY_CODE","01")/60</f>
        <v>512001.56666666665</v>
      </c>
      <c r="E42" s="2">
        <f>+GETPIVOTDATA("ADJBAL",[2]AGTRAXDATA!$F$1,"BRANCH_NUMBER",311,"COMMODITY_CODE","02")/56</f>
        <v>1066.0714285714287</v>
      </c>
      <c r="F42" s="2">
        <f>+GETPIVOTDATA("ADJBAL",[2]AGTRAXDATA!$F$1,"BRANCH_NUMBER",311,"COMMODITY_CODE","04")/56</f>
        <v>382352.03571428574</v>
      </c>
      <c r="G42" s="2">
        <f>+GETPIVOTDATA("ADJBAL",[2]AGTRAXDATA!$F$1,"BRANCH_NUMBER",311,"COMMODITY_CODE","03")/60</f>
        <v>238833.13333333333</v>
      </c>
      <c r="H42" s="2">
        <f>+GETPIVOTDATA("ADJBAL",[2]AGTRAXDATA!$F$1,"BRANCH_NUMBER",311,"COMMODITY_CODE","22")/25</f>
        <v>0</v>
      </c>
      <c r="I42" s="3">
        <v>0</v>
      </c>
      <c r="J42" s="3"/>
      <c r="K42" s="4">
        <f t="shared" si="8"/>
        <v>1134252.8071428572</v>
      </c>
      <c r="L42" s="5"/>
      <c r="M42" s="2">
        <f>+GETPIVOTDATA("LBS_UPDATED",[2]SALESCONTRACTS!$E$1,"BRANCH_NUMBER",311,"COMMODITY_CODE","01")/60</f>
        <v>170000</v>
      </c>
      <c r="N42" s="2">
        <f>+GETPIVOTDATA("LBS_UPDATED",[2]SALESCONTRACTS!$E$1,"BRANCH_NUMBER",311,"COMMODITY_CODE","02")/56</f>
        <v>0</v>
      </c>
      <c r="O42" s="2">
        <f>+GETPIVOTDATA("LBS_UPDATED",[2]SALESCONTRACTS!$E$1,"BRANCH_NUMBER",311,"COMMODITY_CODE","04")/56</f>
        <v>10801.785714285714</v>
      </c>
      <c r="P42" s="2">
        <f>+GETPIVOTDATA("LBS_UPDATED",[2]SALESCONTRACTS!$E$1,"BRANCH_NUMBER",311,"COMMODITY_CODE","03")/60</f>
        <v>0</v>
      </c>
      <c r="Q42" s="2">
        <f>+GETPIVOTDATA("LBS_UPDATED",[2]SALESCONTRACTS!$E$1,"BRANCH_NUMBER",311,"COMMODITY_CODE","22")/25</f>
        <v>0</v>
      </c>
      <c r="R42" s="5"/>
      <c r="S42" s="5"/>
      <c r="T42" s="5"/>
      <c r="U42" s="5"/>
      <c r="V42" s="6"/>
      <c r="W42" s="6">
        <v>76000</v>
      </c>
      <c r="X42" s="7"/>
      <c r="Y42" s="4">
        <f t="shared" si="9"/>
        <v>877451.02142857155</v>
      </c>
      <c r="Z42" s="5"/>
      <c r="AA42" s="5">
        <v>1279000</v>
      </c>
      <c r="AB42" s="5">
        <v>49500</v>
      </c>
      <c r="AC42" s="5"/>
      <c r="AD42" s="8">
        <f t="shared" si="10"/>
        <v>194247.19285714277</v>
      </c>
      <c r="AE42" s="8"/>
      <c r="AF42" s="4">
        <f t="shared" si="11"/>
        <v>451048.97857142845</v>
      </c>
      <c r="AG42" s="5"/>
      <c r="AH42" s="9"/>
      <c r="AI42" s="9"/>
      <c r="AJ42" s="10"/>
      <c r="AK42" s="6"/>
      <c r="AL42" s="7"/>
      <c r="AM42" s="11">
        <v>690000</v>
      </c>
      <c r="AN42" s="6"/>
      <c r="AO42" s="7"/>
      <c r="AP42" s="4">
        <f t="shared" si="12"/>
        <v>-238951.02142857155</v>
      </c>
      <c r="AQ42" s="12"/>
      <c r="AR42" s="13"/>
      <c r="AS42" s="13"/>
      <c r="AT42" s="14"/>
      <c r="AU42" s="15"/>
      <c r="AV42" s="14"/>
      <c r="AW42" s="14">
        <v>229000</v>
      </c>
      <c r="AX42" s="14"/>
      <c r="AY42" s="16"/>
      <c r="AZ42" s="4">
        <f t="shared" si="13"/>
        <v>-9951.0214285715483</v>
      </c>
      <c r="BA42" s="14"/>
      <c r="BB42" s="14"/>
      <c r="BC42" s="14"/>
      <c r="BD42" s="14"/>
      <c r="BE42" s="16"/>
      <c r="BF42" s="4">
        <f t="shared" si="14"/>
        <v>-9951.0214285715483</v>
      </c>
      <c r="BG42" s="14"/>
      <c r="BH42" s="14"/>
      <c r="BI42" s="17"/>
      <c r="BJ42" s="14"/>
      <c r="BK42" s="18"/>
      <c r="BL42" s="19"/>
      <c r="BM42" s="20">
        <f t="shared" si="15"/>
        <v>-9951.0214285715483</v>
      </c>
    </row>
    <row r="43" spans="1:65" ht="15" thickBot="1" x14ac:dyDescent="0.35">
      <c r="A43">
        <v>315</v>
      </c>
      <c r="B43" t="s">
        <v>173</v>
      </c>
      <c r="C43" s="1" t="s">
        <v>88</v>
      </c>
      <c r="D43" s="2">
        <f>+GETPIVOTDATA("ADJBAL",[2]AGTRAXDATA!$F$1,"BRANCH_NUMBER",315,"COMMODITY_CODE","01")/60</f>
        <v>0</v>
      </c>
      <c r="E43" s="2">
        <f>+GETPIVOTDATA("ADJBAL",[2]AGTRAXDATA!$F$1,"BRANCH_NUMBER",315,"COMMODITY_CODE","02")/56</f>
        <v>0</v>
      </c>
      <c r="F43" s="2">
        <f>+GETPIVOTDATA("ADJBAL",[2]AGTRAXDATA!$F$1,"BRANCH_NUMBER",315,"COMMODITY_CODE","04")/56</f>
        <v>0</v>
      </c>
      <c r="G43" s="2">
        <f>+GETPIVOTDATA("ADJBAL",[2]AGTRAXDATA!$F$1,"BRANCH_NUMBER",315,"COMMODITY_CODE","03")/60</f>
        <v>0</v>
      </c>
      <c r="H43" s="2">
        <f>+GETPIVOTDATA("ADJBAL",[2]AGTRAXDATA!$F$1,"BRANCH_NUMBER",315,"COMMODITY_CODE","22")/25</f>
        <v>0</v>
      </c>
      <c r="I43" s="3">
        <v>0</v>
      </c>
      <c r="J43" s="3"/>
      <c r="K43" s="4">
        <f t="shared" si="8"/>
        <v>0</v>
      </c>
      <c r="L43" s="5"/>
      <c r="M43" s="2">
        <f>+GETPIVOTDATA("LBS_UPDATED",[2]SALESCONTRACTS!$E$1,"BRANCH_NUMBER",315,"COMMODITY_CODE","01")/60</f>
        <v>0</v>
      </c>
      <c r="N43" s="2">
        <f>+GETPIVOTDATA("LBS_UPDATED",[2]SALESCONTRACTS!$E$1,"BRANCH_NUMBER",315,"COMMODITY_CODE","02")/56</f>
        <v>0</v>
      </c>
      <c r="O43" s="2">
        <f>+GETPIVOTDATA("LBS_UPDATED",[2]SALESCONTRACTS!$E$1,"BRANCH_NUMBER",315,"COMMODITY_CODE","04")/56</f>
        <v>0</v>
      </c>
      <c r="P43" s="2">
        <f>+GETPIVOTDATA("LBS_UPDATED",[2]SALESCONTRACTS!$E$1,"BRANCH_NUMBER",315,"COMMODITY_CODE","03")/60</f>
        <v>0</v>
      </c>
      <c r="Q43" s="2">
        <f>+GETPIVOTDATA("LBS_UPDATED",[2]SALESCONTRACTS!$E$1,"BRANCH_NUMBER",315,"COMMODITY_CODE","22")/25</f>
        <v>0</v>
      </c>
      <c r="R43" s="5"/>
      <c r="S43" s="5"/>
      <c r="T43" s="5"/>
      <c r="U43" s="5"/>
      <c r="V43" s="6"/>
      <c r="W43" s="6"/>
      <c r="X43" s="7"/>
      <c r="Y43" s="4">
        <f t="shared" si="9"/>
        <v>0</v>
      </c>
      <c r="Z43" s="5"/>
      <c r="AA43" s="5"/>
      <c r="AB43" s="5">
        <v>400000</v>
      </c>
      <c r="AC43" s="5"/>
      <c r="AD43" s="8">
        <f t="shared" si="10"/>
        <v>400000</v>
      </c>
      <c r="AE43" s="8"/>
      <c r="AF43" s="4">
        <f t="shared" si="11"/>
        <v>400000</v>
      </c>
      <c r="AG43" s="5"/>
      <c r="AH43" s="6"/>
      <c r="AI43" s="6"/>
      <c r="AJ43" s="10"/>
      <c r="AK43" s="6"/>
      <c r="AL43" s="7"/>
      <c r="AM43" s="37"/>
      <c r="AN43" s="6"/>
      <c r="AO43" s="7"/>
      <c r="AP43" s="4">
        <f t="shared" si="12"/>
        <v>400000</v>
      </c>
      <c r="AQ43" s="12"/>
      <c r="AR43" s="13"/>
      <c r="AS43" s="13"/>
      <c r="AT43" s="14"/>
      <c r="AU43" s="14"/>
      <c r="AV43" s="14"/>
      <c r="AW43" s="14"/>
      <c r="AX43" s="14"/>
      <c r="AY43" s="16"/>
      <c r="AZ43" s="4">
        <f t="shared" si="13"/>
        <v>400000</v>
      </c>
      <c r="BA43" s="14"/>
      <c r="BB43" s="14"/>
      <c r="BC43" s="14"/>
      <c r="BD43" s="14"/>
      <c r="BE43" s="16"/>
      <c r="BF43" s="4">
        <f t="shared" si="14"/>
        <v>400000</v>
      </c>
      <c r="BG43" s="18"/>
      <c r="BH43" s="18"/>
      <c r="BI43" s="17"/>
      <c r="BJ43" s="18"/>
      <c r="BK43" s="18"/>
      <c r="BL43" s="19"/>
      <c r="BM43" s="20">
        <f t="shared" si="15"/>
        <v>400000</v>
      </c>
    </row>
    <row r="44" spans="1:65" ht="15" thickBot="1" x14ac:dyDescent="0.35">
      <c r="A44">
        <v>331</v>
      </c>
      <c r="B44" t="s">
        <v>172</v>
      </c>
      <c r="C44" s="1" t="s">
        <v>89</v>
      </c>
      <c r="D44" s="2">
        <f>+GETPIVOTDATA("ADJBAL",[2]AGTRAXDATA!$F$1,"BRANCH_NUMBER",331,"COMMODITY_CODE","01")/60</f>
        <v>3748.4666666666667</v>
      </c>
      <c r="E44" s="2">
        <f>+GETPIVOTDATA("ADJBAL",[2]AGTRAXDATA!$F$1,"BRANCH_NUMBER",331,"COMMODITY_CODE","02")/56</f>
        <v>0</v>
      </c>
      <c r="F44" s="2">
        <f>+GETPIVOTDATA("ADJBAL",[2]AGTRAXDATA!$F$1,"BRANCH_NUMBER",331,"COMMODITY_CODE","04")/56</f>
        <v>0</v>
      </c>
      <c r="G44" s="2">
        <f>+GETPIVOTDATA("ADJBAL",[2]AGTRAXDATA!$F$1,"BRANCH_NUMBER",331,"COMMODITY_CODE","03")/60</f>
        <v>23552.683333333334</v>
      </c>
      <c r="H44" s="2">
        <f>+GETPIVOTDATA("ADJBAL",[2]AGTRAXDATA!$F$1,"BRANCH_NUMBER",331,"COMMODITY_CODE","22")/25</f>
        <v>0</v>
      </c>
      <c r="I44" s="3">
        <v>0</v>
      </c>
      <c r="J44" s="3"/>
      <c r="K44" s="4">
        <f t="shared" si="8"/>
        <v>27301.15</v>
      </c>
      <c r="L44" s="5"/>
      <c r="M44" s="2">
        <f>+GETPIVOTDATA("LBS_UPDATED",[2]SALESCONTRACTS!$E$1,"BRANCH_NUMBER",331,"COMMODITY_CODE","01")/60</f>
        <v>0</v>
      </c>
      <c r="N44" s="2">
        <f>+GETPIVOTDATA("LBS_UPDATED",[2]SALESCONTRACTS!$E$1,"BRANCH_NUMBER",331,"COMMODITY_CODE","02")/56</f>
        <v>0</v>
      </c>
      <c r="O44" s="2">
        <f>+GETPIVOTDATA("LBS_UPDATED",[2]SALESCONTRACTS!$E$1,"BRANCH_NUMBER",331,"COMMODITY_CODE","04")/56</f>
        <v>0</v>
      </c>
      <c r="P44" s="2">
        <f>+GETPIVOTDATA("LBS_UPDATED",[2]SALESCONTRACTS!$E$1,"BRANCH_NUMBER",331,"COMMODITY_CODE","03")/60</f>
        <v>0</v>
      </c>
      <c r="Q44" s="2">
        <f>+GETPIVOTDATA("LBS_UPDATED",[2]SALESCONTRACTS!$E$1,"BRANCH_NUMBER",331,"COMMODITY_CODE","22")/25</f>
        <v>0</v>
      </c>
      <c r="R44" s="5"/>
      <c r="S44" s="5"/>
      <c r="T44" s="5"/>
      <c r="U44" s="5"/>
      <c r="V44" s="6"/>
      <c r="W44" s="6"/>
      <c r="X44" s="7"/>
      <c r="Y44" s="4">
        <f t="shared" si="9"/>
        <v>27301.15</v>
      </c>
      <c r="Z44" s="5"/>
      <c r="AA44" s="5">
        <v>178060</v>
      </c>
      <c r="AB44" s="5">
        <v>40500</v>
      </c>
      <c r="AC44" s="5"/>
      <c r="AD44" s="8">
        <f t="shared" si="10"/>
        <v>191258.85</v>
      </c>
      <c r="AE44" s="8"/>
      <c r="AF44" s="4">
        <f t="shared" si="11"/>
        <v>191258.85</v>
      </c>
      <c r="AG44" s="5"/>
      <c r="AH44" s="9"/>
      <c r="AI44" s="9"/>
      <c r="AJ44" s="10"/>
      <c r="AK44" s="6"/>
      <c r="AL44" s="7"/>
      <c r="AM44" s="11">
        <v>185000</v>
      </c>
      <c r="AN44" s="6"/>
      <c r="AO44" s="7"/>
      <c r="AP44" s="4">
        <f t="shared" si="12"/>
        <v>6258.8500000000058</v>
      </c>
      <c r="AQ44" s="12"/>
      <c r="AR44" s="13"/>
      <c r="AS44" s="13"/>
      <c r="AT44" s="14"/>
      <c r="AU44" s="14"/>
      <c r="AV44" s="14"/>
      <c r="AW44" s="14"/>
      <c r="AX44" s="14"/>
      <c r="AY44" s="16"/>
      <c r="AZ44" s="4">
        <f t="shared" si="13"/>
        <v>6258.8500000000058</v>
      </c>
      <c r="BA44" s="47"/>
      <c r="BB44" s="14"/>
      <c r="BC44" s="14"/>
      <c r="BD44" s="14"/>
      <c r="BE44" s="16"/>
      <c r="BF44" s="4">
        <f t="shared" si="14"/>
        <v>6258.8500000000058</v>
      </c>
      <c r="BG44" s="47"/>
      <c r="BH44" s="47"/>
      <c r="BI44" s="17"/>
      <c r="BJ44" s="14"/>
      <c r="BK44" s="18"/>
      <c r="BL44" s="19"/>
      <c r="BM44" s="20">
        <f t="shared" si="15"/>
        <v>6258.8500000000058</v>
      </c>
    </row>
    <row r="45" spans="1:65" ht="15" thickBot="1" x14ac:dyDescent="0.35">
      <c r="A45">
        <v>341</v>
      </c>
      <c r="B45" t="s">
        <v>171</v>
      </c>
      <c r="C45" s="1" t="s">
        <v>90</v>
      </c>
      <c r="D45" s="2">
        <f>+GETPIVOTDATA("ADJBAL",[2]AGTRAXDATA!$F$1,"BRANCH_NUMBER",341,"COMMODITY_CODE","01")/60</f>
        <v>303437.84999999998</v>
      </c>
      <c r="E45" s="2">
        <f>+GETPIVOTDATA("ADJBAL",[2]AGTRAXDATA!$F$1,"BRANCH_NUMBER",341,"COMMODITY_CODE","02")/56</f>
        <v>0</v>
      </c>
      <c r="F45" s="2">
        <f>+GETPIVOTDATA("ADJBAL",[2]AGTRAXDATA!$F$1,"BRANCH_NUMBER",341,"COMMODITY_CODE","04")/56</f>
        <v>248932.14285714287</v>
      </c>
      <c r="G45" s="2">
        <f>+GETPIVOTDATA("ADJBAL",[2]AGTRAXDATA!$F$1,"BRANCH_NUMBER",341,"COMMODITY_CODE","03")/60</f>
        <v>110534.65</v>
      </c>
      <c r="H45" s="2">
        <f>+GETPIVOTDATA("ADJBAL",[2]AGTRAXDATA!$F$1,"BRANCH_NUMBER",341,"COMMODITY_CODE","22")/25</f>
        <v>-492.2</v>
      </c>
      <c r="I45" s="3">
        <v>0</v>
      </c>
      <c r="J45" s="3"/>
      <c r="K45" s="4">
        <f t="shared" si="8"/>
        <v>662412.44285714289</v>
      </c>
      <c r="L45" s="5"/>
      <c r="M45" s="2">
        <f>+GETPIVOTDATA("LBS_UPDATED",[2]SALESCONTRACTS!$E$1,"BRANCH_NUMBER",341,"COMMODITY_CODE","01")/60</f>
        <v>0</v>
      </c>
      <c r="N45" s="2">
        <f>+GETPIVOTDATA("LBS_UPDATED",[2]SALESCONTRACTS!$E$1,"BRANCH_NUMBER",341,"COMMODITY_CODE","02")/56</f>
        <v>0</v>
      </c>
      <c r="O45" s="2">
        <f>+GETPIVOTDATA("LBS_UPDATED",[2]SALESCONTRACTS!$E$1,"BRANCH_NUMBER",341,"COMMODITY_CODE","04")/56</f>
        <v>0</v>
      </c>
      <c r="P45" s="2">
        <f>+GETPIVOTDATA("LBS_UPDATED",[2]SALESCONTRACTS!$E$1,"BRANCH_NUMBER",341,"COMMODITY_CODE","03")/60</f>
        <v>9.3666666666666671</v>
      </c>
      <c r="Q45" s="2">
        <f>+GETPIVOTDATA("LBS_UPDATED",[2]SALESCONTRACTS!$E$1,"BRANCH_NUMBER",341,"COMMODITY_CODE","22")/25</f>
        <v>0</v>
      </c>
      <c r="R45" s="5"/>
      <c r="S45" s="5"/>
      <c r="T45" s="5"/>
      <c r="U45" s="5"/>
      <c r="V45" s="6"/>
      <c r="W45" s="6">
        <v>249000</v>
      </c>
      <c r="X45" s="7"/>
      <c r="Y45" s="4">
        <f t="shared" si="9"/>
        <v>413403.07619047619</v>
      </c>
      <c r="Z45" s="5"/>
      <c r="AA45" s="5">
        <v>993000</v>
      </c>
      <c r="AB45" s="5"/>
      <c r="AC45" s="5"/>
      <c r="AD45" s="8">
        <f t="shared" si="10"/>
        <v>330587.55714285711</v>
      </c>
      <c r="AE45" s="8"/>
      <c r="AF45" s="4">
        <f t="shared" si="11"/>
        <v>579596.92380952381</v>
      </c>
      <c r="AG45" s="5"/>
      <c r="AH45" s="9"/>
      <c r="AI45" s="9"/>
      <c r="AJ45" s="10"/>
      <c r="AK45" s="6"/>
      <c r="AL45" s="7"/>
      <c r="AM45" s="11">
        <v>670000</v>
      </c>
      <c r="AN45" s="6"/>
      <c r="AO45" s="7"/>
      <c r="AP45" s="4">
        <f t="shared" si="12"/>
        <v>-90403.076190476189</v>
      </c>
      <c r="AQ45" s="12"/>
      <c r="AR45" s="13"/>
      <c r="AS45" s="13"/>
      <c r="AT45" s="14"/>
      <c r="AU45" s="14"/>
      <c r="AV45" s="12"/>
      <c r="AW45" s="14">
        <v>111000</v>
      </c>
      <c r="AX45" s="14"/>
      <c r="AY45" s="16"/>
      <c r="AZ45" s="4">
        <f t="shared" si="13"/>
        <v>20596.923809523811</v>
      </c>
      <c r="BA45" s="14"/>
      <c r="BB45" s="14"/>
      <c r="BC45" s="14"/>
      <c r="BD45" s="14"/>
      <c r="BE45" s="16"/>
      <c r="BF45" s="4">
        <f t="shared" si="14"/>
        <v>20596.923809523811</v>
      </c>
      <c r="BG45" s="18"/>
      <c r="BH45" s="14"/>
      <c r="BI45" s="17"/>
      <c r="BJ45" s="14"/>
      <c r="BK45" s="18"/>
      <c r="BL45" s="19"/>
      <c r="BM45" s="20">
        <f t="shared" si="15"/>
        <v>20596.923809523811</v>
      </c>
    </row>
    <row r="46" spans="1:65" ht="15" thickBot="1" x14ac:dyDescent="0.35">
      <c r="A46">
        <v>351</v>
      </c>
      <c r="B46" t="s">
        <v>170</v>
      </c>
      <c r="C46" s="1" t="s">
        <v>91</v>
      </c>
      <c r="D46" s="2">
        <f>+GETPIVOTDATA("ADJBAL",[2]AGTRAXDATA!$F$1,"BRANCH_NUMBER",351,"COMMODITY_CODE","01")/60</f>
        <v>236089.25</v>
      </c>
      <c r="E46" s="2">
        <f>+GETPIVOTDATA("ADJBAL",[2]AGTRAXDATA!$F$1,"BRANCH_NUMBER",351,"COMMODITY_CODE","02")/56</f>
        <v>7278.9464285714284</v>
      </c>
      <c r="F46" s="2">
        <f>+GETPIVOTDATA("ADJBAL",[2]AGTRAXDATA!$F$1,"BRANCH_NUMBER",351,"COMMODITY_CODE","04")/56</f>
        <v>2794.8571428571427</v>
      </c>
      <c r="G46" s="2">
        <f>+GETPIVOTDATA("ADJBAL",[2]AGTRAXDATA!$F$1,"BRANCH_NUMBER",351,"COMMODITY_CODE","03")/60</f>
        <v>152325.63333333333</v>
      </c>
      <c r="H46" s="2">
        <f>+GETPIVOTDATA("ADJBAL",[2]AGTRAXDATA!$F$1,"BRANCH_NUMBER",351,"COMMODITY_CODE","22")/25</f>
        <v>0</v>
      </c>
      <c r="I46" s="3">
        <v>0</v>
      </c>
      <c r="J46" s="3"/>
      <c r="K46" s="4">
        <f t="shared" si="8"/>
        <v>398488.68690476188</v>
      </c>
      <c r="L46" s="5"/>
      <c r="M46" s="2">
        <f>+GETPIVOTDATA("LBS_UPDATED",[2]SALESCONTRACTS!$E$1,"BRANCH_NUMBER",351,"COMMODITY_CODE","01")/60</f>
        <v>0</v>
      </c>
      <c r="N46" s="2">
        <f>+GETPIVOTDATA("LBS_UPDATED",[2]SALESCONTRACTS!$E$1,"BRANCH_NUMBER",351,"COMMODITY_CODE","02")/56</f>
        <v>0</v>
      </c>
      <c r="O46" s="2">
        <f>+GETPIVOTDATA("LBS_UPDATED",[2]SALESCONTRACTS!$E$1,"BRANCH_NUMBER",351,"COMMODITY_CODE","04")/56</f>
        <v>0</v>
      </c>
      <c r="P46" s="2">
        <f>+GETPIVOTDATA("LBS_UPDATED",[2]SALESCONTRACTS!$E$1,"BRANCH_NUMBER",351,"COMMODITY_CODE","03")/60</f>
        <v>0</v>
      </c>
      <c r="Q46" s="2">
        <f>+GETPIVOTDATA("LBS_UPDATED",[2]SALESCONTRACTS!$E$1,"BRANCH_NUMBER",351,"COMMODITY_CODE","22")/25</f>
        <v>0</v>
      </c>
      <c r="R46" s="5"/>
      <c r="S46" s="5"/>
      <c r="T46" s="5"/>
      <c r="U46" s="5"/>
      <c r="V46" s="6"/>
      <c r="W46" s="6"/>
      <c r="X46" s="7"/>
      <c r="Y46" s="4">
        <f t="shared" si="9"/>
        <v>398488.68690476188</v>
      </c>
      <c r="Z46" s="5"/>
      <c r="AA46" s="5">
        <v>519300</v>
      </c>
      <c r="AB46" s="5">
        <v>31500</v>
      </c>
      <c r="AC46" s="5"/>
      <c r="AD46" s="8">
        <f t="shared" si="10"/>
        <v>152311.31309523812</v>
      </c>
      <c r="AE46" s="8"/>
      <c r="AF46" s="4">
        <f t="shared" si="11"/>
        <v>152311.31309523812</v>
      </c>
      <c r="AG46" s="5"/>
      <c r="AH46" s="9"/>
      <c r="AI46" s="9"/>
      <c r="AJ46" s="10"/>
      <c r="AK46" s="6"/>
      <c r="AL46" s="7"/>
      <c r="AM46" s="11">
        <v>210000</v>
      </c>
      <c r="AN46" s="6"/>
      <c r="AO46" s="7"/>
      <c r="AP46" s="4">
        <f t="shared" si="12"/>
        <v>-57688.686904761882</v>
      </c>
      <c r="AQ46" s="12"/>
      <c r="AR46" s="13"/>
      <c r="AS46" s="13"/>
      <c r="AT46" s="14"/>
      <c r="AU46" s="14"/>
      <c r="AV46" s="14"/>
      <c r="AW46" s="14">
        <v>50000</v>
      </c>
      <c r="AX46" s="14"/>
      <c r="AY46" s="16"/>
      <c r="AZ46" s="4">
        <f t="shared" si="13"/>
        <v>-7688.686904761882</v>
      </c>
      <c r="BA46" s="14"/>
      <c r="BB46" s="14"/>
      <c r="BC46" s="14"/>
      <c r="BD46" s="14"/>
      <c r="BE46" s="16"/>
      <c r="BF46" s="4">
        <f t="shared" si="14"/>
        <v>-7688.686904761882</v>
      </c>
      <c r="BG46" s="18"/>
      <c r="BH46" s="14"/>
      <c r="BI46" s="14"/>
      <c r="BJ46" s="14"/>
      <c r="BK46" s="18"/>
      <c r="BL46" s="19"/>
      <c r="BM46" s="20">
        <f t="shared" si="15"/>
        <v>-7688.686904761882</v>
      </c>
    </row>
    <row r="47" spans="1:65" ht="15" thickBot="1" x14ac:dyDescent="0.35">
      <c r="A47">
        <v>361</v>
      </c>
      <c r="B47" t="s">
        <v>169</v>
      </c>
      <c r="C47" s="1" t="s">
        <v>92</v>
      </c>
      <c r="D47" s="2">
        <f>+GETPIVOTDATA("ADJBAL",[2]AGTRAXDATA!$F$1,"BRANCH_NUMBER",361,"COMMODITY_CODE","01")/60</f>
        <v>184802.01666666666</v>
      </c>
      <c r="E47" s="2">
        <f>+GETPIVOTDATA("ADJBAL",[2]AGTRAXDATA!$F$1,"BRANCH_NUMBER",361,"COMMODITY_CODE","02")/56</f>
        <v>0</v>
      </c>
      <c r="F47" s="2">
        <f>+GETPIVOTDATA("ADJBAL",[2]AGTRAXDATA!$F$1,"BRANCH_NUMBER",361,"COMMODITY_CODE","04")/56</f>
        <v>0</v>
      </c>
      <c r="G47" s="2">
        <f>+GETPIVOTDATA("ADJBAL",[2]AGTRAXDATA!$F$1,"BRANCH_NUMBER",361,"COMMODITY_CODE","03")/60</f>
        <v>0</v>
      </c>
      <c r="H47" s="2">
        <f>+GETPIVOTDATA("ADJBAL",[2]AGTRAXDATA!$F$1,"BRANCH_NUMBER",361,"COMMODITY_CODE","22")/25</f>
        <v>0</v>
      </c>
      <c r="I47" s="3">
        <v>0</v>
      </c>
      <c r="J47" s="3"/>
      <c r="K47" s="4">
        <f t="shared" si="8"/>
        <v>184802.01666666666</v>
      </c>
      <c r="L47" s="5"/>
      <c r="M47" s="2">
        <f>+GETPIVOTDATA("LBS_UPDATED",[2]SALESCONTRACTS!$E$1,"BRANCH_NUMBER",361,"COMMODITY_CODE","01")/60</f>
        <v>36.75</v>
      </c>
      <c r="N47" s="2">
        <f>+GETPIVOTDATA("LBS_UPDATED",[2]SALESCONTRACTS!$E$1,"BRANCH_NUMBER",361,"COMMODITY_CODE","02")/56</f>
        <v>0</v>
      </c>
      <c r="O47" s="2">
        <f>+GETPIVOTDATA("LBS_UPDATED",[2]SALESCONTRACTS!$E$1,"BRANCH_NUMBER",361,"COMMODITY_CODE","04")/56</f>
        <v>0</v>
      </c>
      <c r="P47" s="2">
        <f>+GETPIVOTDATA("LBS_UPDATED",[2]SALESCONTRACTS!$E$1,"BRANCH_NUMBER",361,"COMMODITY_CODE","03")/60</f>
        <v>0</v>
      </c>
      <c r="Q47" s="2">
        <f>+GETPIVOTDATA("LBS_UPDATED",[2]SALESCONTRACTS!$E$1,"BRANCH_NUMBER",361,"COMMODITY_CODE","22")/25</f>
        <v>0</v>
      </c>
      <c r="R47" s="5"/>
      <c r="S47" s="5"/>
      <c r="T47" s="5"/>
      <c r="U47" s="5"/>
      <c r="V47" s="6"/>
      <c r="W47" s="6"/>
      <c r="X47" s="7"/>
      <c r="Y47" s="4">
        <f t="shared" si="9"/>
        <v>184765.26666666666</v>
      </c>
      <c r="Z47" s="5"/>
      <c r="AA47" s="5">
        <v>345600</v>
      </c>
      <c r="AB47" s="5"/>
      <c r="AC47" s="5"/>
      <c r="AD47" s="8">
        <f t="shared" si="10"/>
        <v>160797.98333333334</v>
      </c>
      <c r="AE47" s="8"/>
      <c r="AF47" s="4">
        <f t="shared" si="11"/>
        <v>160834.73333333334</v>
      </c>
      <c r="AG47" s="5"/>
      <c r="AH47" s="9"/>
      <c r="AI47" s="9"/>
      <c r="AJ47" s="10"/>
      <c r="AK47" s="6"/>
      <c r="AL47" s="7"/>
      <c r="AM47" s="11">
        <v>130000</v>
      </c>
      <c r="AN47" s="6"/>
      <c r="AO47" s="7"/>
      <c r="AP47" s="4">
        <f t="shared" si="12"/>
        <v>30834.733333333337</v>
      </c>
      <c r="AQ47" s="12"/>
      <c r="AR47" s="13"/>
      <c r="AS47" s="13"/>
      <c r="AT47" s="14"/>
      <c r="AU47" s="14"/>
      <c r="AV47" s="14"/>
      <c r="AW47" s="14"/>
      <c r="AX47" s="14"/>
      <c r="AY47" s="16"/>
      <c r="AZ47" s="4">
        <f t="shared" si="13"/>
        <v>30834.733333333337</v>
      </c>
      <c r="BA47" s="14"/>
      <c r="BB47" s="14"/>
      <c r="BC47" s="14"/>
      <c r="BD47" s="14"/>
      <c r="BE47" s="16"/>
      <c r="BF47" s="4">
        <f t="shared" si="14"/>
        <v>30834.733333333337</v>
      </c>
      <c r="BG47" s="18"/>
      <c r="BH47" s="18"/>
      <c r="BI47" s="17"/>
      <c r="BJ47" s="18"/>
      <c r="BK47" s="18"/>
      <c r="BL47" s="19"/>
      <c r="BM47" s="20">
        <f t="shared" si="15"/>
        <v>30834.733333333337</v>
      </c>
    </row>
    <row r="48" spans="1:65" ht="15" thickBot="1" x14ac:dyDescent="0.35">
      <c r="A48">
        <v>433</v>
      </c>
      <c r="B48" t="s">
        <v>168</v>
      </c>
      <c r="C48" s="1" t="s">
        <v>93</v>
      </c>
      <c r="D48" s="2">
        <f>(+GETPIVOTDATA("ADJBAL",[2]AGTRAXDATA!$F$1,"BRANCH_NUMBER",432,"COMMODITY_CODE","01")+GETPIVOTDATA("ADJBAL",[2]AGTRAXDATA!$F$1,"BRANCH_NUMBER",433,"COMMODITY_CODE","01"))/60</f>
        <v>114681.98333333334</v>
      </c>
      <c r="E48" s="2">
        <f>(+GETPIVOTDATA("ADJBAL",[2]AGTRAXDATA!$F$1,"BRANCH_NUMBER",432,"COMMODITY_CODE","02")+GETPIVOTDATA("ADJBAL",[2]AGTRAXDATA!$F$1,"BRANCH_NUMBER",433,"COMMODITY_CODE","02"))/56</f>
        <v>186726.96428571429</v>
      </c>
      <c r="F48" s="2">
        <f>(+GETPIVOTDATA("ADJBAL",[2]AGTRAXDATA!$F$1,"BRANCH_NUMBER",432,"COMMODITY_CODE","04")+GETPIVOTDATA("ADJBAL",[2]AGTRAXDATA!$F$1,"BRANCH_NUMBER",433,"COMMODITY_CODE","04"))/56</f>
        <v>968231.80357142852</v>
      </c>
      <c r="G48" s="2">
        <f>(+GETPIVOTDATA("ADJBAL",[2]AGTRAXDATA!$F$1,"BRANCH_NUMBER",432,"COMMODITY_CODE","03")+GETPIVOTDATA("ADJBAL",[2]AGTRAXDATA!$F$1,"BRANCH_NUMBER",433,"COMMODITY_CODE","03"))/60</f>
        <v>711977.58333333337</v>
      </c>
      <c r="H48" s="2">
        <f>(+GETPIVOTDATA("ADJBAL",[2]AGTRAXDATA!$F$1,"BRANCH_NUMBER",432,"COMMODITY_CODE","22")+GETPIVOTDATA("ADJBAL",[2]AGTRAXDATA!$F$1,"BRANCH_NUMBER",433,"COMMODITY_CODE","22"))/25</f>
        <v>0</v>
      </c>
      <c r="I48" s="3">
        <v>0</v>
      </c>
      <c r="J48" s="3"/>
      <c r="K48" s="4">
        <f t="shared" si="8"/>
        <v>1981618.3345238096</v>
      </c>
      <c r="L48" s="5"/>
      <c r="M48" s="2">
        <f>(+GETPIVOTDATA("LBS_UPDATED",[2]SALESCONTRACTS!$E$1,"BRANCH_NUMBER",432,"COMMODITY_CODE","01")+GETPIVOTDATA("LBS_UPDATED",[2]SALESCONTRACTS!$E$1,"BRANCH_NUMBER",433,"COMMODITY_CODE","01"))/60</f>
        <v>0</v>
      </c>
      <c r="N48" s="2">
        <f>(+GETPIVOTDATA("LBS_UPDATED",[2]SALESCONTRACTS!$E$1,"BRANCH_NUMBER",432,"COMMODITY_CODE","02")+GETPIVOTDATA("LBS_UPDATED",[2]SALESCONTRACTS!$E$1,"BRANCH_NUMBER",433,"COMMODITY_CODE","02"))/56</f>
        <v>0</v>
      </c>
      <c r="O48" s="2">
        <f>(+GETPIVOTDATA("LBS_UPDATED",[2]SALESCONTRACTS!$E$1,"BRANCH_NUMBER",432,"COMMODITY_CODE","04")+GETPIVOTDATA("LBS_UPDATED",[2]SALESCONTRACTS!$E$1,"BRANCH_NUMBER",433,"COMMODITY_CODE","04"))/56</f>
        <v>1214.4642857142858</v>
      </c>
      <c r="P48" s="2">
        <f>(+GETPIVOTDATA("LBS_UPDATED",[2]SALESCONTRACTS!$E$1,"BRANCH_NUMBER",432,"COMMODITY_CODE","03")+GETPIVOTDATA("LBS_UPDATED",[2]SALESCONTRACTS!$E$1,"BRANCH_NUMBER",433,"COMMODITY_CODE","03"))/60</f>
        <v>0</v>
      </c>
      <c r="Q48" s="2">
        <f>(+GETPIVOTDATA("LBS_UPDATED",[2]SALESCONTRACTS!$E$1,"BRANCH_NUMBER",432,"COMMODITY_CODE","22")+GETPIVOTDATA("LBS_UPDATED",[2]SALESCONTRACTS!$E$1,"BRANCH_NUMBER",433,"COMMODITY_CODE","22"))/60</f>
        <v>0</v>
      </c>
      <c r="R48" s="5"/>
      <c r="S48" s="5"/>
      <c r="T48" s="5"/>
      <c r="U48" s="5"/>
      <c r="V48" s="6"/>
      <c r="W48" s="6"/>
      <c r="X48" s="7"/>
      <c r="Y48" s="4">
        <f t="shared" si="9"/>
        <v>1980403.8702380953</v>
      </c>
      <c r="Z48" s="5"/>
      <c r="AA48" s="5">
        <v>2165500</v>
      </c>
      <c r="AB48" s="5">
        <v>90000</v>
      </c>
      <c r="AC48" s="5"/>
      <c r="AD48" s="8">
        <f t="shared" si="10"/>
        <v>273881.66547619039</v>
      </c>
      <c r="AE48" s="8"/>
      <c r="AF48" s="4">
        <f t="shared" si="11"/>
        <v>275096.12976190471</v>
      </c>
      <c r="AG48" s="5"/>
      <c r="AH48" s="9"/>
      <c r="AI48" s="9"/>
      <c r="AJ48" s="10"/>
      <c r="AK48" s="31"/>
      <c r="AL48" s="7"/>
      <c r="AM48" s="11">
        <v>1140000</v>
      </c>
      <c r="AN48" s="6"/>
      <c r="AO48" s="7"/>
      <c r="AP48" s="4">
        <f t="shared" si="12"/>
        <v>-864903.87023809529</v>
      </c>
      <c r="AQ48" s="12"/>
      <c r="AR48" s="13"/>
      <c r="AS48" s="13"/>
      <c r="AT48" s="14"/>
      <c r="AU48" s="14"/>
      <c r="AV48" s="12"/>
      <c r="AW48" s="14"/>
      <c r="AX48" s="14"/>
      <c r="AY48" s="16"/>
      <c r="AZ48" s="4">
        <f t="shared" si="13"/>
        <v>-864903.87023809529</v>
      </c>
      <c r="BA48" s="14"/>
      <c r="BB48" s="42"/>
      <c r="BC48" s="14"/>
      <c r="BD48" s="14"/>
      <c r="BE48" s="16"/>
      <c r="BF48" s="4">
        <f t="shared" si="14"/>
        <v>-864903.87023809529</v>
      </c>
      <c r="BG48" s="18"/>
      <c r="BH48" s="25">
        <v>150000</v>
      </c>
      <c r="BI48" s="17"/>
      <c r="BJ48" s="18">
        <v>710000</v>
      </c>
      <c r="BK48" s="18"/>
      <c r="BL48" s="19"/>
      <c r="BM48" s="20">
        <f t="shared" si="15"/>
        <v>-4903.8702380952891</v>
      </c>
    </row>
    <row r="49" spans="1:65" ht="15" thickBot="1" x14ac:dyDescent="0.35">
      <c r="A49">
        <v>442</v>
      </c>
      <c r="B49" t="s">
        <v>167</v>
      </c>
      <c r="C49" s="1" t="s">
        <v>94</v>
      </c>
      <c r="D49" s="2">
        <f>+GETPIVOTDATA("ADJBAL",[2]AGTRAXDATA!$F$1,"BRANCH_NUMBER",442,"COMMODITY_CODE","01")/60</f>
        <v>1166.3666666666666</v>
      </c>
      <c r="E49" s="2">
        <f>+GETPIVOTDATA("ADJBAL",[2]AGTRAXDATA!$F$1,"BRANCH_NUMBER",442,"COMMODITY_CODE","02")/56</f>
        <v>111011.26785714286</v>
      </c>
      <c r="F49" s="2">
        <f>+GETPIVOTDATA("ADJBAL",[2]AGTRAXDATA!$F$1,"BRANCH_NUMBER",442,"COMMODITY_CODE","04")/56</f>
        <v>151842.125</v>
      </c>
      <c r="G49" s="2">
        <f>+GETPIVOTDATA("ADJBAL",[2]AGTRAXDATA!$F$1,"BRANCH_NUMBER",442,"COMMODITY_CODE","03")/60</f>
        <v>285625.96666666667</v>
      </c>
      <c r="H49" s="2">
        <f>+GETPIVOTDATA("ADJBAL",[2]AGTRAXDATA!$F$1,"BRANCH_NUMBER",442,"COMMODITY_CODE","22")/25</f>
        <v>0</v>
      </c>
      <c r="I49" s="3">
        <v>0</v>
      </c>
      <c r="J49" s="3"/>
      <c r="K49" s="4">
        <f t="shared" si="8"/>
        <v>549645.72619047621</v>
      </c>
      <c r="L49" s="5"/>
      <c r="M49" s="2">
        <f>+GETPIVOTDATA("LBS_UPDATED",[2]SALESCONTRACTS!$E$1,"BRANCH_NUMBER",442,"COMMODITY_CODE","01")/60</f>
        <v>0</v>
      </c>
      <c r="N49" s="2">
        <f>+GETPIVOTDATA("LBS_UPDATED",[2]SALESCONTRACTS!$E$1,"BRANCH_NUMBER",442,"COMMODITY_CODE","02")/56</f>
        <v>0</v>
      </c>
      <c r="O49" s="2">
        <f>+GETPIVOTDATA("LBS_UPDATED",[2]SALESCONTRACTS!$E$1,"BRANCH_NUMBER",442,"COMMODITY_CODE","04")/56</f>
        <v>5.375</v>
      </c>
      <c r="P49" s="2">
        <f>+GETPIVOTDATA("LBS_UPDATED",[2]SALESCONTRACTS!$E$1,"BRANCH_NUMBER",442,"COMMODITY_CODE","03")/60</f>
        <v>0</v>
      </c>
      <c r="Q49" s="2">
        <f>+GETPIVOTDATA("LBS_UPDATED",[2]SALESCONTRACTS!$E$1,"BRANCH_NUMBER",442,"COMMODITY_CODE","22")/25</f>
        <v>0</v>
      </c>
      <c r="R49" s="5"/>
      <c r="S49" s="5"/>
      <c r="T49" s="5"/>
      <c r="U49" s="5"/>
      <c r="V49" s="31"/>
      <c r="W49" s="31"/>
      <c r="X49" s="7"/>
      <c r="Y49" s="4">
        <f t="shared" si="9"/>
        <v>549640.35119047621</v>
      </c>
      <c r="Z49" s="5"/>
      <c r="AA49" s="5">
        <v>867600</v>
      </c>
      <c r="AB49" s="5"/>
      <c r="AC49" s="5"/>
      <c r="AD49" s="8">
        <f t="shared" si="10"/>
        <v>317954.27380952379</v>
      </c>
      <c r="AE49" s="8"/>
      <c r="AF49" s="4">
        <f t="shared" si="11"/>
        <v>317959.64880952379</v>
      </c>
      <c r="AG49" s="5"/>
      <c r="AH49" s="9"/>
      <c r="AI49" s="9"/>
      <c r="AJ49" s="10"/>
      <c r="AK49" s="30"/>
      <c r="AL49" s="7"/>
      <c r="AM49" s="36">
        <v>420000</v>
      </c>
      <c r="AN49" s="31"/>
      <c r="AO49" s="7"/>
      <c r="AP49" s="4">
        <f t="shared" si="12"/>
        <v>-102040.35119047621</v>
      </c>
      <c r="AQ49" s="12"/>
      <c r="AR49" s="13"/>
      <c r="AS49" s="13"/>
      <c r="AT49" s="14"/>
      <c r="AU49" s="46"/>
      <c r="AV49" s="14">
        <v>111000</v>
      </c>
      <c r="AW49" s="15"/>
      <c r="AX49" s="14"/>
      <c r="AY49" s="16"/>
      <c r="AZ49" s="4">
        <f t="shared" si="13"/>
        <v>8959.6488095237873</v>
      </c>
      <c r="BA49" s="14"/>
      <c r="BB49" s="14"/>
      <c r="BC49" s="42"/>
      <c r="BD49" s="14"/>
      <c r="BE49" s="16"/>
      <c r="BF49" s="4">
        <f t="shared" si="14"/>
        <v>8959.6488095237873</v>
      </c>
      <c r="BG49" s="18"/>
      <c r="BH49" s="18"/>
      <c r="BI49" s="25"/>
      <c r="BJ49" s="18"/>
      <c r="BK49" s="18"/>
      <c r="BL49" s="19"/>
      <c r="BM49" s="20">
        <f t="shared" si="15"/>
        <v>8959.6488095237873</v>
      </c>
    </row>
    <row r="50" spans="1:65" ht="15" thickBot="1" x14ac:dyDescent="0.35">
      <c r="A50">
        <v>443</v>
      </c>
      <c r="B50" t="s">
        <v>166</v>
      </c>
      <c r="C50" s="1" t="s">
        <v>95</v>
      </c>
      <c r="D50" s="2">
        <f>+GETPIVOTDATA("ADJBAL",[2]AGTRAXDATA!$F$1,"BRANCH_NUMBER",443,"COMMODITY_CODE","01")/60</f>
        <v>422909.28333333333</v>
      </c>
      <c r="E50" s="2">
        <f>+GETPIVOTDATA("ADJBAL",[2]AGTRAXDATA!$F$1,"BRANCH_NUMBER",443,"COMMODITY_CODE","02")/56</f>
        <v>19511.732142857141</v>
      </c>
      <c r="F50" s="2">
        <f>+GETPIVOTDATA("ADJBAL",[2]AGTRAXDATA!$F$1,"BRANCH_NUMBER",443,"COMMODITY_CODE","04")/56</f>
        <v>20866.035714285714</v>
      </c>
      <c r="G50" s="2">
        <f>+GETPIVOTDATA("ADJBAL",[2]AGTRAXDATA!$F$1,"BRANCH_NUMBER",443,"COMMODITY_CODE","03")/60</f>
        <v>463126.95</v>
      </c>
      <c r="H50" s="2">
        <f>+GETPIVOTDATA("ADJBAL",[2]AGTRAXDATA!$F$1,"BRANCH_NUMBER",443,"COMMODITY_CODE","22")/25</f>
        <v>0</v>
      </c>
      <c r="I50" s="3">
        <v>0</v>
      </c>
      <c r="J50" s="3"/>
      <c r="K50" s="4">
        <f t="shared" si="8"/>
        <v>926414.00119047624</v>
      </c>
      <c r="L50" s="5"/>
      <c r="M50" s="2">
        <f>+GETPIVOTDATA("LBS_UPDATED",[2]SALESCONTRACTS!$E$1,"BRANCH_NUMBER",443,"COMMODITY_CODE","01")/60</f>
        <v>0</v>
      </c>
      <c r="N50" s="2">
        <f>+GETPIVOTDATA("LBS_UPDATED",[2]SALESCONTRACTS!$E$1,"BRANCH_NUMBER",443,"COMMODITY_CODE","02")/56</f>
        <v>0</v>
      </c>
      <c r="O50" s="2">
        <f>+GETPIVOTDATA("LBS_UPDATED",[2]SALESCONTRACTS!$E$1,"BRANCH_NUMBER",443,"COMMODITY_CODE","04")/56</f>
        <v>0</v>
      </c>
      <c r="P50" s="2">
        <f>+GETPIVOTDATA("LBS_UPDATED",[2]SALESCONTRACTS!$E$1,"BRANCH_NUMBER",443,"COMMODITY_CODE","03")/60</f>
        <v>0</v>
      </c>
      <c r="Q50" s="2">
        <f>+GETPIVOTDATA("LBS_UPDATED",[2]SALESCONTRACTS!$E$1,"BRANCH_NUMBER",443,"COMMODITY_CODE","22")/25</f>
        <v>0</v>
      </c>
      <c r="R50" s="5"/>
      <c r="S50" s="5"/>
      <c r="T50" s="5"/>
      <c r="U50" s="5"/>
      <c r="V50" s="30"/>
      <c r="W50" s="30"/>
      <c r="X50" s="7"/>
      <c r="Y50" s="4">
        <f t="shared" si="9"/>
        <v>926414.00119047624</v>
      </c>
      <c r="Z50" s="5"/>
      <c r="AA50" s="5">
        <v>1293000</v>
      </c>
      <c r="AB50" s="5"/>
      <c r="AC50" s="5"/>
      <c r="AD50" s="8">
        <f t="shared" si="10"/>
        <v>366585.99880952376</v>
      </c>
      <c r="AE50" s="8"/>
      <c r="AF50" s="4">
        <f t="shared" si="11"/>
        <v>366585.99880952376</v>
      </c>
      <c r="AG50" s="5"/>
      <c r="AH50" s="9"/>
      <c r="AI50" s="9"/>
      <c r="AJ50" s="10"/>
      <c r="AK50" s="6"/>
      <c r="AL50" s="7"/>
      <c r="AM50" s="11">
        <v>348000</v>
      </c>
      <c r="AN50" s="6"/>
      <c r="AO50" s="7"/>
      <c r="AP50" s="4">
        <f t="shared" si="12"/>
        <v>18585.998809523764</v>
      </c>
      <c r="AQ50" s="12"/>
      <c r="AR50" s="13"/>
      <c r="AS50" s="13"/>
      <c r="AT50" s="14"/>
      <c r="AU50" s="14"/>
      <c r="AV50" s="14"/>
      <c r="AW50" s="14"/>
      <c r="AX50" s="14"/>
      <c r="AY50" s="16"/>
      <c r="AZ50" s="4">
        <f t="shared" si="13"/>
        <v>18585.998809523764</v>
      </c>
      <c r="BA50" s="14"/>
      <c r="BB50" s="14"/>
      <c r="BC50" s="42"/>
      <c r="BD50" s="14"/>
      <c r="BE50" s="16"/>
      <c r="BF50" s="4">
        <f t="shared" si="14"/>
        <v>18585.998809523764</v>
      </c>
      <c r="BG50" s="18"/>
      <c r="BH50" s="18"/>
      <c r="BI50" s="25"/>
      <c r="BJ50" s="18"/>
      <c r="BK50" s="18"/>
      <c r="BL50" s="19"/>
      <c r="BM50" s="20">
        <f t="shared" si="15"/>
        <v>18585.998809523764</v>
      </c>
    </row>
    <row r="51" spans="1:65" ht="15" thickBot="1" x14ac:dyDescent="0.35">
      <c r="A51">
        <v>445</v>
      </c>
      <c r="B51" t="s">
        <v>166</v>
      </c>
      <c r="C51" s="1" t="s">
        <v>96</v>
      </c>
      <c r="D51" s="2">
        <f>+GETPIVOTDATA("ADJBAL",[2]AGTRAXDATA!$F$1,"BRANCH_NUMBER",445,"COMMODITY_CODE","01")/60</f>
        <v>0</v>
      </c>
      <c r="E51" s="2">
        <f>+GETPIVOTDATA("ADJBAL",[2]AGTRAXDATA!$F$1,"BRANCH_NUMBER",445,"COMMODITY_CODE","02")/56</f>
        <v>0</v>
      </c>
      <c r="F51" s="2">
        <f>+GETPIVOTDATA("ADJBAL",[2]AGTRAXDATA!$F$1,"BRANCH_NUMBER",445,"COMMODITY_CODE","04")/56</f>
        <v>494967.23214285716</v>
      </c>
      <c r="G51" s="2">
        <f>+GETPIVOTDATA("ADJBAL",[2]AGTRAXDATA!$F$1,"BRANCH_NUMBER",445,"COMMODITY_CODE","03")/60</f>
        <v>0</v>
      </c>
      <c r="H51" s="2">
        <f>+GETPIVOTDATA("ADJBAL",[2]AGTRAXDATA!$F$1,"BRANCH_NUMBER",445,"COMMODITY_CODE","22")/25</f>
        <v>0</v>
      </c>
      <c r="I51" s="3">
        <v>0</v>
      </c>
      <c r="J51" s="3"/>
      <c r="K51" s="4">
        <f t="shared" si="8"/>
        <v>494967.23214285716</v>
      </c>
      <c r="L51" s="5"/>
      <c r="M51" s="2">
        <f>+GETPIVOTDATA("LBS_UPDATED",[2]SALESCONTRACTS!$E$1,"BRANCH_NUMBER",445,"COMMODITY_CODE","01")/60</f>
        <v>0</v>
      </c>
      <c r="N51" s="2">
        <f>+GETPIVOTDATA("LBS_UPDATED",[2]SALESCONTRACTS!$E$1,"BRANCH_NUMBER",445,"COMMODITY_CODE","02")/56</f>
        <v>0</v>
      </c>
      <c r="O51" s="2">
        <f>+GETPIVOTDATA("LBS_UPDATED",[2]SALESCONTRACTS!$E$1,"BRANCH_NUMBER",445,"COMMODITY_CODE","04")/56</f>
        <v>0</v>
      </c>
      <c r="P51" s="2">
        <f>+GETPIVOTDATA("LBS_UPDATED",[2]SALESCONTRACTS!$E$1,"BRANCH_NUMBER",445,"COMMODITY_CODE","03")/60</f>
        <v>0</v>
      </c>
      <c r="Q51" s="2">
        <f>+GETPIVOTDATA("LBS_UPDATED",[2]SALESCONTRACTS!$E$1,"BRANCH_NUMBER",445,"COMMODITY_CODE","22")/25</f>
        <v>0</v>
      </c>
      <c r="R51" s="5"/>
      <c r="S51" s="5"/>
      <c r="T51" s="5"/>
      <c r="U51" s="5"/>
      <c r="V51" s="6"/>
      <c r="W51" s="6"/>
      <c r="X51" s="7"/>
      <c r="Y51" s="4">
        <f t="shared" si="9"/>
        <v>494967.23214285716</v>
      </c>
      <c r="Z51" s="5"/>
      <c r="AA51" s="5"/>
      <c r="AB51" s="5">
        <v>500000</v>
      </c>
      <c r="AC51" s="5"/>
      <c r="AD51" s="8">
        <f t="shared" si="10"/>
        <v>5032.7678571428405</v>
      </c>
      <c r="AE51" s="8"/>
      <c r="AF51" s="4">
        <f t="shared" si="11"/>
        <v>5032.7678571428405</v>
      </c>
      <c r="AG51" s="5"/>
      <c r="AH51" s="33"/>
      <c r="AI51" s="33"/>
      <c r="AJ51" s="10"/>
      <c r="AK51" s="6"/>
      <c r="AL51" s="6"/>
      <c r="AM51" s="11"/>
      <c r="AN51" s="6"/>
      <c r="AO51" s="7"/>
      <c r="AP51" s="4">
        <f t="shared" si="12"/>
        <v>5032.7678571428405</v>
      </c>
      <c r="AQ51" s="12"/>
      <c r="AR51" s="13"/>
      <c r="AS51" s="13"/>
      <c r="AT51" s="14"/>
      <c r="AU51" s="14"/>
      <c r="AV51" s="14">
        <v>495000</v>
      </c>
      <c r="AW51" s="14"/>
      <c r="AX51" s="14"/>
      <c r="AY51" s="16"/>
      <c r="AZ51" s="4">
        <f t="shared" si="13"/>
        <v>500032.76785714284</v>
      </c>
      <c r="BA51" s="14"/>
      <c r="BB51" s="14"/>
      <c r="BC51" s="14"/>
      <c r="BD51" s="14"/>
      <c r="BE51" s="16"/>
      <c r="BF51" s="4">
        <f t="shared" si="14"/>
        <v>500032.76785714284</v>
      </c>
      <c r="BG51" s="18"/>
      <c r="BH51" s="18"/>
      <c r="BI51" s="17"/>
      <c r="BJ51" s="18"/>
      <c r="BK51" s="18"/>
      <c r="BL51" s="19"/>
      <c r="BM51" s="20">
        <f t="shared" si="15"/>
        <v>500032.76785714284</v>
      </c>
    </row>
    <row r="52" spans="1:65" ht="15" thickBot="1" x14ac:dyDescent="0.35">
      <c r="A52">
        <v>447</v>
      </c>
      <c r="B52" t="s">
        <v>165</v>
      </c>
      <c r="C52" s="1" t="s">
        <v>97</v>
      </c>
      <c r="D52" s="2">
        <f>+GETPIVOTDATA("ADJBAL",[2]AGTRAXDATA!$F$1,"BRANCH_NUMBER",447,"COMMODITY_CODE","01")/60</f>
        <v>-1184.1166666666666</v>
      </c>
      <c r="E52" s="2">
        <f>+GETPIVOTDATA("ADJBAL",[2]AGTRAXDATA!$F$1,"BRANCH_NUMBER",447,"COMMODITY_CODE","02")/56</f>
        <v>0</v>
      </c>
      <c r="F52" s="2">
        <f>+GETPIVOTDATA("ADJBAL",[2]AGTRAXDATA!$F$1,"BRANCH_NUMBER",447,"COMMODITY_CODE","04")/56</f>
        <v>36794.392857142855</v>
      </c>
      <c r="G52" s="2">
        <f>+GETPIVOTDATA("ADJBAL",[2]AGTRAXDATA!$F$1,"BRANCH_NUMBER",447,"COMMODITY_CODE","03")/60</f>
        <v>419648.98333333334</v>
      </c>
      <c r="H52" s="2">
        <f>+GETPIVOTDATA("ADJBAL",[2]AGTRAXDATA!$F$1,"BRANCH_NUMBER",447,"COMMODITY_CODE","22")/25</f>
        <v>0</v>
      </c>
      <c r="I52" s="3">
        <v>0</v>
      </c>
      <c r="J52" s="3"/>
      <c r="K52" s="4">
        <f t="shared" si="8"/>
        <v>455259.25952380954</v>
      </c>
      <c r="L52" s="5"/>
      <c r="M52" s="2">
        <f>+GETPIVOTDATA("LBS_UPDATED",[2]SALESCONTRACTS!$E$1,"BRANCH_NUMBER",447,"COMMODITY_CODE","01")/60</f>
        <v>0</v>
      </c>
      <c r="N52" s="2">
        <f>+GETPIVOTDATA("LBS_UPDATED",[2]SALESCONTRACTS!$E$1,"BRANCH_NUMBER",447,"COMMODITY_CODE","02")/56</f>
        <v>0</v>
      </c>
      <c r="O52" s="2">
        <f>+GETPIVOTDATA("LBS_UPDATED",[2]SALESCONTRACTS!$E$1,"BRANCH_NUMBER",447,"COMMODITY_CODE","04")/56</f>
        <v>5052.5892857142853</v>
      </c>
      <c r="P52" s="2">
        <f>+GETPIVOTDATA("LBS_UPDATED",[2]SALESCONTRACTS!$E$1,"BRANCH_NUMBER",447,"COMMODITY_CODE","03")/60</f>
        <v>0</v>
      </c>
      <c r="Q52" s="2">
        <f>+GETPIVOTDATA("LBS_UPDATED",[2]SALESCONTRACTS!$E$1,"BRANCH_NUMBER",447,"COMMODITY_CODE","22")/25</f>
        <v>0</v>
      </c>
      <c r="R52" s="5"/>
      <c r="S52" s="5"/>
      <c r="T52" s="5"/>
      <c r="U52" s="5"/>
      <c r="V52" s="6"/>
      <c r="W52" s="6"/>
      <c r="X52" s="7"/>
      <c r="Y52" s="4">
        <f t="shared" si="9"/>
        <v>450206.67023809528</v>
      </c>
      <c r="Z52" s="5"/>
      <c r="AA52" s="5">
        <v>900000</v>
      </c>
      <c r="AB52" s="5"/>
      <c r="AC52" s="5"/>
      <c r="AD52" s="8">
        <f t="shared" si="10"/>
        <v>444740.74047619046</v>
      </c>
      <c r="AE52" s="8"/>
      <c r="AF52" s="4">
        <f t="shared" si="11"/>
        <v>449793.32976190472</v>
      </c>
      <c r="AG52" s="5"/>
      <c r="AH52" s="32"/>
      <c r="AI52" s="32"/>
      <c r="AJ52" s="10"/>
      <c r="AK52" s="6"/>
      <c r="AL52" s="7"/>
      <c r="AM52" s="11">
        <v>365000</v>
      </c>
      <c r="AN52" s="6"/>
      <c r="AO52" s="7"/>
      <c r="AP52" s="4">
        <f t="shared" si="12"/>
        <v>84793.329761904723</v>
      </c>
      <c r="AQ52" s="12"/>
      <c r="AR52" s="13"/>
      <c r="AS52" s="13"/>
      <c r="AT52" s="14"/>
      <c r="AU52" s="14"/>
      <c r="AV52" s="14">
        <v>32000</v>
      </c>
      <c r="AW52" s="15"/>
      <c r="AX52" s="14"/>
      <c r="AY52" s="16"/>
      <c r="AZ52" s="4">
        <f t="shared" si="13"/>
        <v>116793.32976190472</v>
      </c>
      <c r="BA52" s="14"/>
      <c r="BB52" s="14"/>
      <c r="BC52" s="14"/>
      <c r="BD52" s="14"/>
      <c r="BE52" s="16"/>
      <c r="BF52" s="4">
        <f t="shared" si="14"/>
        <v>116793.32976190472</v>
      </c>
      <c r="BG52" s="18"/>
      <c r="BH52" s="14"/>
      <c r="BI52" s="14"/>
      <c r="BJ52" s="18"/>
      <c r="BK52" s="18"/>
      <c r="BL52" s="19"/>
      <c r="BM52" s="20">
        <f t="shared" si="15"/>
        <v>116793.32976190472</v>
      </c>
    </row>
    <row r="53" spans="1:65" ht="15" thickBot="1" x14ac:dyDescent="0.35">
      <c r="A53">
        <v>510</v>
      </c>
      <c r="B53" t="s">
        <v>164</v>
      </c>
      <c r="C53" s="1" t="s">
        <v>98</v>
      </c>
      <c r="D53" s="2">
        <f>+GETPIVOTDATA("ADJBAL",[2]AGTRAXDATA!$F$1,"BRANCH_NUMBER",510,"COMMODITY_CODE","01")/60</f>
        <v>282922.55</v>
      </c>
      <c r="E53" s="2">
        <f>+GETPIVOTDATA("ADJBAL",[2]AGTRAXDATA!$F$1,"BRANCH_NUMBER",510,"COMMODITY_CODE","02")/56</f>
        <v>497541.69642857142</v>
      </c>
      <c r="F53" s="2">
        <f>+GETPIVOTDATA("ADJBAL",[2]AGTRAXDATA!$F$1,"BRANCH_NUMBER",510,"COMMODITY_CODE","04")/56</f>
        <v>0</v>
      </c>
      <c r="G53" s="2">
        <f>+GETPIVOTDATA("ADJBAL",[2]AGTRAXDATA!$F$1,"BRANCH_NUMBER",510,"COMMODITY_CODE","03")/60</f>
        <v>213716.68333333332</v>
      </c>
      <c r="H53" s="2">
        <f>+GETPIVOTDATA("ADJBAL",[2]AGTRAXDATA!$F$1,"BRANCH_NUMBER",510,"COMMODITY_CODE","22")/25</f>
        <v>0</v>
      </c>
      <c r="I53" s="3">
        <v>0</v>
      </c>
      <c r="J53" s="3"/>
      <c r="K53" s="4">
        <f t="shared" si="8"/>
        <v>994180.92976190476</v>
      </c>
      <c r="L53" s="5"/>
      <c r="M53" s="2">
        <f>+GETPIVOTDATA("LBS_UPDATED",[2]SALESCONTRACTS!$E$1,"BRANCH_NUMBER",510,"COMMODITY_CODE","01")/60</f>
        <v>27156.633333333335</v>
      </c>
      <c r="N53" s="2">
        <f>+GETPIVOTDATA("LBS_UPDATED",[2]SALESCONTRACTS!$E$1,"BRANCH_NUMBER",510,"COMMODITY_CODE","02")/56</f>
        <v>0</v>
      </c>
      <c r="O53" s="2">
        <f>+GETPIVOTDATA("LBS_UPDATED",[2]SALESCONTRACTS!$E$1,"BRANCH_NUMBER",510,"COMMODITY_CODE","04")/56</f>
        <v>0</v>
      </c>
      <c r="P53" s="2">
        <f>+GETPIVOTDATA("LBS_UPDATED",[2]SALESCONTRACTS!$E$1,"BRANCH_NUMBER",510,"COMMODITY_CODE","03")/60</f>
        <v>0</v>
      </c>
      <c r="Q53" s="2">
        <f>+GETPIVOTDATA("LBS_UPDATED",[2]SALESCONTRACTS!$E$1,"BRANCH_NUMBER",510,"COMMODITY_CODE","22")/25</f>
        <v>0</v>
      </c>
      <c r="R53" s="5"/>
      <c r="S53" s="5"/>
      <c r="T53" s="5"/>
      <c r="U53" s="5"/>
      <c r="V53" s="6"/>
      <c r="W53" s="6"/>
      <c r="X53" s="7"/>
      <c r="Y53" s="4">
        <f t="shared" si="9"/>
        <v>967024.29642857146</v>
      </c>
      <c r="Z53" s="5"/>
      <c r="AA53" s="5">
        <v>1175000</v>
      </c>
      <c r="AB53" s="5"/>
      <c r="AC53" s="5"/>
      <c r="AD53" s="8">
        <f t="shared" si="10"/>
        <v>180819.07023809524</v>
      </c>
      <c r="AE53" s="8"/>
      <c r="AF53" s="4">
        <f t="shared" si="11"/>
        <v>207975.70357142854</v>
      </c>
      <c r="AG53" s="5"/>
      <c r="AH53" s="9"/>
      <c r="AI53" s="9"/>
      <c r="AJ53" s="10"/>
      <c r="AK53" s="6"/>
      <c r="AL53" s="7"/>
      <c r="AM53" s="11">
        <v>1000000</v>
      </c>
      <c r="AN53" s="38"/>
      <c r="AO53" s="7"/>
      <c r="AP53" s="4">
        <f t="shared" si="12"/>
        <v>-792024.29642857146</v>
      </c>
      <c r="AQ53" s="12"/>
      <c r="AR53" s="13"/>
      <c r="AS53" s="13"/>
      <c r="AT53" s="14"/>
      <c r="AU53" s="14"/>
      <c r="AV53" s="14"/>
      <c r="AW53" s="15"/>
      <c r="AX53" s="14"/>
      <c r="AY53" s="16"/>
      <c r="AZ53" s="4">
        <f t="shared" si="13"/>
        <v>-792024.29642857146</v>
      </c>
      <c r="BA53" s="14"/>
      <c r="BB53" s="14"/>
      <c r="BC53" s="14"/>
      <c r="BD53" s="14"/>
      <c r="BE53" s="16"/>
      <c r="BF53" s="4">
        <f t="shared" si="14"/>
        <v>-792024.29642857146</v>
      </c>
      <c r="BG53" s="18"/>
      <c r="BH53" s="14">
        <v>498000</v>
      </c>
      <c r="BI53" s="17"/>
      <c r="BJ53" s="57">
        <v>214000</v>
      </c>
      <c r="BK53" s="18"/>
      <c r="BL53" s="19"/>
      <c r="BM53" s="20">
        <f t="shared" si="15"/>
        <v>-80024.296428571455</v>
      </c>
    </row>
    <row r="54" spans="1:65" ht="15" thickBot="1" x14ac:dyDescent="0.35">
      <c r="A54">
        <v>520</v>
      </c>
      <c r="B54" t="s">
        <v>163</v>
      </c>
      <c r="C54" s="1" t="s">
        <v>99</v>
      </c>
      <c r="D54" s="2">
        <f>+GETPIVOTDATA("ADJBAL",[2]AGTRAXDATA!$F$1,"BRANCH_NUMBER",520,"COMMODITY_CODE","01")/60</f>
        <v>125528.2</v>
      </c>
      <c r="E54" s="2">
        <f>+GETPIVOTDATA("ADJBAL",[2]AGTRAXDATA!$F$1,"BRANCH_NUMBER",520,"COMMODITY_CODE","02")/56</f>
        <v>9288.0892857142862</v>
      </c>
      <c r="F54" s="2">
        <f>+GETPIVOTDATA("ADJBAL",[2]AGTRAXDATA!$F$1,"BRANCH_NUMBER",520,"COMMODITY_CODE","04")/56</f>
        <v>7939.4107142857147</v>
      </c>
      <c r="G54" s="2">
        <f>+GETPIVOTDATA("ADJBAL",[2]AGTRAXDATA!$F$1,"BRANCH_NUMBER",520,"COMMODITY_CODE","03")/60</f>
        <v>0</v>
      </c>
      <c r="H54" s="2">
        <f>+GETPIVOTDATA("ADJBAL",[2]AGTRAXDATA!$F$1,"BRANCH_NUMBER",520,"COMMODITY_CODE","22")/25</f>
        <v>-490.16</v>
      </c>
      <c r="I54" s="3">
        <v>0</v>
      </c>
      <c r="J54" s="3"/>
      <c r="K54" s="4">
        <f t="shared" si="8"/>
        <v>142265.53999999998</v>
      </c>
      <c r="L54" s="5"/>
      <c r="M54" s="2">
        <f>+GETPIVOTDATA("LBS_UPDATED",[2]SALESCONTRACTS!$E$1,"BRANCH_NUMBER",520,"COMMODITY_CODE","01")/60</f>
        <v>0</v>
      </c>
      <c r="N54" s="2">
        <f>+GETPIVOTDATA("LBS_UPDATED",[2]SALESCONTRACTS!$E$1,"BRANCH_NUMBER",520,"COMMODITY_CODE","02")/56</f>
        <v>0</v>
      </c>
      <c r="O54" s="2">
        <f>+GETPIVOTDATA("LBS_UPDATED",[2]SALESCONTRACTS!$E$1,"BRANCH_NUMBER",520,"COMMODITY_CODE","04")/56</f>
        <v>0</v>
      </c>
      <c r="P54" s="2">
        <f>+GETPIVOTDATA("LBS_UPDATED",[2]SALESCONTRACTS!$E$1,"BRANCH_NUMBER",520,"COMMODITY_CODE","03")/60</f>
        <v>0</v>
      </c>
      <c r="Q54" s="2">
        <f>+GETPIVOTDATA("LBS_UPDATED",[2]SALESCONTRACTS!$E$1,"BRANCH_NUMBER",520,"COMMODITY_CODE","22")/25</f>
        <v>0</v>
      </c>
      <c r="R54" s="5"/>
      <c r="S54" s="5"/>
      <c r="T54" s="5"/>
      <c r="U54" s="5"/>
      <c r="V54" s="6">
        <v>10000</v>
      </c>
      <c r="W54" s="6"/>
      <c r="X54" s="7"/>
      <c r="Y54" s="4">
        <f t="shared" si="9"/>
        <v>132265.53999999998</v>
      </c>
      <c r="Z54" s="5"/>
      <c r="AA54" s="5">
        <v>233100</v>
      </c>
      <c r="AB54" s="5"/>
      <c r="AC54" s="5"/>
      <c r="AD54" s="8">
        <f t="shared" si="10"/>
        <v>90834.460000000021</v>
      </c>
      <c r="AE54" s="8"/>
      <c r="AF54" s="4">
        <f t="shared" si="11"/>
        <v>100834.46000000002</v>
      </c>
      <c r="AG54" s="5"/>
      <c r="AH54" s="9"/>
      <c r="AI54" s="9"/>
      <c r="AJ54" s="10"/>
      <c r="AK54" s="6"/>
      <c r="AL54" s="7"/>
      <c r="AM54" s="11">
        <v>20000</v>
      </c>
      <c r="AN54" s="38"/>
      <c r="AO54" s="7"/>
      <c r="AP54" s="4">
        <f t="shared" si="12"/>
        <v>80834.460000000021</v>
      </c>
      <c r="AQ54" s="12"/>
      <c r="AR54" s="13"/>
      <c r="AS54" s="13"/>
      <c r="AT54" s="14"/>
      <c r="AU54" s="14"/>
      <c r="AV54" s="44"/>
      <c r="AW54" s="14"/>
      <c r="AX54" s="14"/>
      <c r="AY54" s="16"/>
      <c r="AZ54" s="4">
        <f t="shared" si="13"/>
        <v>80834.460000000021</v>
      </c>
      <c r="BA54" s="14"/>
      <c r="BB54" s="45"/>
      <c r="BC54" s="14"/>
      <c r="BD54" s="14"/>
      <c r="BE54" s="16"/>
      <c r="BF54" s="4">
        <f t="shared" si="14"/>
        <v>80834.460000000021</v>
      </c>
      <c r="BG54" s="18"/>
      <c r="BH54" s="54"/>
      <c r="BI54" s="17"/>
      <c r="BJ54" s="18"/>
      <c r="BK54" s="18"/>
      <c r="BL54" s="19"/>
      <c r="BM54" s="20">
        <f t="shared" si="15"/>
        <v>80834.460000000021</v>
      </c>
    </row>
    <row r="55" spans="1:65" ht="15" thickBot="1" x14ac:dyDescent="0.35">
      <c r="A55">
        <v>530</v>
      </c>
      <c r="B55" t="s">
        <v>162</v>
      </c>
      <c r="C55" s="1" t="s">
        <v>100</v>
      </c>
      <c r="D55" s="2">
        <f>+GETPIVOTDATA("ADJBAL",[2]AGTRAXDATA!$F$1,"BRANCH_NUMBER",530,"COMMODITY_CODE","01")/60</f>
        <v>231193.86666666667</v>
      </c>
      <c r="E55" s="2">
        <f>+GETPIVOTDATA("ADJBAL",[2]AGTRAXDATA!$F$1,"BRANCH_NUMBER",530,"COMMODITY_CODE","02")/56</f>
        <v>10027.910714285714</v>
      </c>
      <c r="F55" s="2">
        <f>+GETPIVOTDATA("ADJBAL",[2]AGTRAXDATA!$F$1,"BRANCH_NUMBER",530,"COMMODITY_CODE","04")/56</f>
        <v>0</v>
      </c>
      <c r="G55" s="2">
        <f>+GETPIVOTDATA("ADJBAL",[2]AGTRAXDATA!$F$1,"BRANCH_NUMBER",530,"COMMODITY_CODE","03")/60</f>
        <v>9415.4333333333325</v>
      </c>
      <c r="H55" s="2">
        <f>+GETPIVOTDATA("ADJBAL",[2]AGTRAXDATA!$F$1,"BRANCH_NUMBER",530,"COMMODITY_CODE","22")/25</f>
        <v>0</v>
      </c>
      <c r="I55" s="3">
        <v>0</v>
      </c>
      <c r="J55" s="3"/>
      <c r="K55" s="4">
        <f t="shared" si="8"/>
        <v>250637.2107142857</v>
      </c>
      <c r="L55" s="5"/>
      <c r="M55" s="2">
        <f>+GETPIVOTDATA("LBS_UPDATED",[2]SALESCONTRACTS!$E$1,"BRANCH_NUMBER",530,"COMMODITY_CODE","01")/60</f>
        <v>0</v>
      </c>
      <c r="N55" s="2">
        <f>+GETPIVOTDATA("LBS_UPDATED",[2]SALESCONTRACTS!$E$1,"BRANCH_NUMBER",530,"COMMODITY_CODE","02")/56</f>
        <v>0</v>
      </c>
      <c r="O55" s="2">
        <f>+GETPIVOTDATA("LBS_UPDATED",[2]SALESCONTRACTS!$E$1,"BRANCH_NUMBER",530,"COMMODITY_CODE","04")/56</f>
        <v>0</v>
      </c>
      <c r="P55" s="2">
        <f>+GETPIVOTDATA("LBS_UPDATED",[2]SALESCONTRACTS!$E$1,"BRANCH_NUMBER",530,"COMMODITY_CODE","03")/60</f>
        <v>0</v>
      </c>
      <c r="Q55" s="2">
        <f>+GETPIVOTDATA("LBS_UPDATED",[2]SALESCONTRACTS!$E$1,"BRANCH_NUMBER",530,"COMMODITY_CODE","22")/25</f>
        <v>0</v>
      </c>
      <c r="R55" s="5"/>
      <c r="S55" s="5"/>
      <c r="T55" s="5"/>
      <c r="U55" s="5"/>
      <c r="V55" s="6"/>
      <c r="W55" s="6"/>
      <c r="X55" s="7"/>
      <c r="Y55" s="4">
        <f t="shared" si="9"/>
        <v>250637.2107142857</v>
      </c>
      <c r="Z55" s="5"/>
      <c r="AA55" s="5">
        <v>326700</v>
      </c>
      <c r="AB55" s="5"/>
      <c r="AC55" s="5"/>
      <c r="AD55" s="8">
        <f t="shared" si="10"/>
        <v>76062.789285714302</v>
      </c>
      <c r="AE55" s="8"/>
      <c r="AF55" s="4">
        <f t="shared" si="11"/>
        <v>76062.789285714302</v>
      </c>
      <c r="AG55" s="5"/>
      <c r="AH55" s="9"/>
      <c r="AI55" s="9"/>
      <c r="AJ55" s="10"/>
      <c r="AK55" s="6"/>
      <c r="AL55" s="7" t="s">
        <v>123</v>
      </c>
      <c r="AM55" s="11">
        <v>120000</v>
      </c>
      <c r="AN55" s="38"/>
      <c r="AO55" s="7"/>
      <c r="AP55" s="4">
        <f t="shared" si="12"/>
        <v>-43937.210714285698</v>
      </c>
      <c r="AQ55" s="12"/>
      <c r="AR55" s="13"/>
      <c r="AS55" s="13"/>
      <c r="AT55" s="14"/>
      <c r="AU55" s="43"/>
      <c r="AV55" s="14"/>
      <c r="AW55" s="12"/>
      <c r="AX55" s="14"/>
      <c r="AY55" s="16"/>
      <c r="AZ55" s="4">
        <f t="shared" si="13"/>
        <v>-43937.210714285698</v>
      </c>
      <c r="BA55" s="14"/>
      <c r="BB55" s="14"/>
      <c r="BC55" s="14"/>
      <c r="BD55" s="14"/>
      <c r="BE55" s="16"/>
      <c r="BF55" s="4">
        <f t="shared" si="14"/>
        <v>-43937.210714285698</v>
      </c>
      <c r="BG55" s="18">
        <v>25000</v>
      </c>
      <c r="BH55" s="18">
        <v>10000</v>
      </c>
      <c r="BI55" s="17"/>
      <c r="BJ55" s="18">
        <v>10000</v>
      </c>
      <c r="BK55" s="18"/>
      <c r="BL55" s="19"/>
      <c r="BM55" s="20">
        <f t="shared" si="15"/>
        <v>1062.7892857143015</v>
      </c>
    </row>
    <row r="56" spans="1:65" ht="15" thickBot="1" x14ac:dyDescent="0.35">
      <c r="A56">
        <v>540</v>
      </c>
      <c r="B56" t="s">
        <v>161</v>
      </c>
      <c r="C56" s="1" t="s">
        <v>101</v>
      </c>
      <c r="D56" s="2">
        <f>+GETPIVOTDATA("ADJBAL",[2]AGTRAXDATA!$F$1,"BRANCH_NUMBER",540,"COMMODITY_CODE","01")/60</f>
        <v>0</v>
      </c>
      <c r="E56" s="2">
        <f>+GETPIVOTDATA("ADJBAL",[2]AGTRAXDATA!$F$1,"BRANCH_NUMBER",540,"COMMODITY_CODE","02")/56</f>
        <v>34942.125</v>
      </c>
      <c r="F56" s="2">
        <f>+GETPIVOTDATA("ADJBAL",[2]AGTRAXDATA!$F$1,"BRANCH_NUMBER",540,"COMMODITY_CODE","04")/56</f>
        <v>103418.32142857143</v>
      </c>
      <c r="G56" s="2">
        <f>+GETPIVOTDATA("ADJBAL",[2]AGTRAXDATA!$F$1,"BRANCH_NUMBER",540,"COMMODITY_CODE","03")/60</f>
        <v>135995.86666666667</v>
      </c>
      <c r="H56" s="2">
        <f>+GETPIVOTDATA("ADJBAL",[2]AGTRAXDATA!$F$1,"BRANCH_NUMBER",540,"COMMODITY_CODE","22")/25</f>
        <v>0</v>
      </c>
      <c r="I56" s="3">
        <v>0</v>
      </c>
      <c r="J56" s="3"/>
      <c r="K56" s="4">
        <f t="shared" si="8"/>
        <v>274356.31309523806</v>
      </c>
      <c r="L56" s="5"/>
      <c r="M56" s="2">
        <f>+GETPIVOTDATA("LBS_UPDATED",[2]SALESCONTRACTS!$E$1,"BRANCH_NUMBER",540,"COMMODITY_CODE","01")/60</f>
        <v>0</v>
      </c>
      <c r="N56" s="2">
        <f>+GETPIVOTDATA("LBS_UPDATED",[2]SALESCONTRACTS!$E$1,"BRANCH_NUMBER",540,"COMMODITY_CODE","02")/56</f>
        <v>0</v>
      </c>
      <c r="O56" s="2">
        <f>+GETPIVOTDATA("LBS_UPDATED",[2]SALESCONTRACTS!$E$1,"BRANCH_NUMBER",540,"COMMODITY_CODE","04")/56</f>
        <v>0</v>
      </c>
      <c r="P56" s="2">
        <f>+GETPIVOTDATA("LBS_UPDATED",[2]SALESCONTRACTS!$E$1,"BRANCH_NUMBER",540,"COMMODITY_CODE","03")/60</f>
        <v>0</v>
      </c>
      <c r="Q56" s="2">
        <f>+GETPIVOTDATA("LBS_UPDATED",[2]SALESCONTRACTS!$E$1,"BRANCH_NUMBER",540,"COMMODITY_CODE","22")/25</f>
        <v>0</v>
      </c>
      <c r="R56" s="5"/>
      <c r="S56" s="5"/>
      <c r="T56" s="5"/>
      <c r="U56" s="5"/>
      <c r="V56" s="6"/>
      <c r="W56" s="6">
        <v>55000</v>
      </c>
      <c r="X56" s="7"/>
      <c r="Y56" s="4">
        <f t="shared" si="9"/>
        <v>219356.31309523806</v>
      </c>
      <c r="Z56" s="5"/>
      <c r="AA56" s="5">
        <v>376200</v>
      </c>
      <c r="AB56" s="5"/>
      <c r="AC56" s="5"/>
      <c r="AD56" s="8">
        <f t="shared" si="10"/>
        <v>101843.68690476194</v>
      </c>
      <c r="AE56" s="8"/>
      <c r="AF56" s="4">
        <f t="shared" si="11"/>
        <v>156843.68690476194</v>
      </c>
      <c r="AG56" s="5"/>
      <c r="AH56" s="9"/>
      <c r="AI56" s="9"/>
      <c r="AJ56" s="10"/>
      <c r="AK56" s="6"/>
      <c r="AL56" s="7"/>
      <c r="AM56" s="11">
        <v>400000</v>
      </c>
      <c r="AN56" s="38"/>
      <c r="AO56" s="7"/>
      <c r="AP56" s="4">
        <f t="shared" si="12"/>
        <v>-243156.31309523806</v>
      </c>
      <c r="AQ56" s="12"/>
      <c r="AR56" s="13"/>
      <c r="AS56" s="13"/>
      <c r="AT56" s="14"/>
      <c r="AU56" s="14"/>
      <c r="AV56" s="42">
        <v>48000</v>
      </c>
      <c r="AW56" s="14"/>
      <c r="AX56" s="14"/>
      <c r="AY56" s="16"/>
      <c r="AZ56" s="4">
        <f t="shared" si="13"/>
        <v>-195156.31309523806</v>
      </c>
      <c r="BA56" s="14"/>
      <c r="BB56" s="14"/>
      <c r="BC56" s="42"/>
      <c r="BD56" s="13"/>
      <c r="BE56" s="16"/>
      <c r="BF56" s="4">
        <f t="shared" si="14"/>
        <v>-195156.31309523806</v>
      </c>
      <c r="BG56" s="18"/>
      <c r="BH56" s="14">
        <v>35000</v>
      </c>
      <c r="BI56" s="14"/>
      <c r="BJ56" s="14">
        <v>136000</v>
      </c>
      <c r="BK56" s="18"/>
      <c r="BL56" s="19"/>
      <c r="BM56" s="20">
        <f t="shared" si="15"/>
        <v>-24156.31309523806</v>
      </c>
    </row>
    <row r="57" spans="1:65" ht="15" thickBot="1" x14ac:dyDescent="0.35">
      <c r="A57">
        <v>541</v>
      </c>
      <c r="B57" t="s">
        <v>160</v>
      </c>
      <c r="C57" s="1" t="s">
        <v>102</v>
      </c>
      <c r="D57" s="2">
        <f>+GETPIVOTDATA("ADJBAL",[2]AGTRAXDATA!$F$1,"BRANCH_NUMBER",541,"COMMODITY_CODE","01")/60</f>
        <v>368131.6</v>
      </c>
      <c r="E57" s="2">
        <f>+GETPIVOTDATA("ADJBAL",[2]AGTRAXDATA!$F$1,"BRANCH_NUMBER",541,"COMMODITY_CODE","02")/56</f>
        <v>46262.767857142855</v>
      </c>
      <c r="F57" s="2">
        <f>+GETPIVOTDATA("ADJBAL",[2]AGTRAXDATA!$F$1,"BRANCH_NUMBER",541,"COMMODITY_CODE","04")/56</f>
        <v>203497.92857142858</v>
      </c>
      <c r="G57" s="2">
        <f>+GETPIVOTDATA("ADJBAL",[2]AGTRAXDATA!$F$1,"BRANCH_NUMBER",541,"COMMODITY_CODE","03")/60</f>
        <v>59990.616666666669</v>
      </c>
      <c r="H57" s="2">
        <f>+GETPIVOTDATA("ADJBAL",[2]AGTRAXDATA!$F$1,"BRANCH_NUMBER",541,"COMMODITY_CODE","22")/25</f>
        <v>0</v>
      </c>
      <c r="I57" s="3">
        <v>0</v>
      </c>
      <c r="J57" s="3"/>
      <c r="K57" s="4">
        <f t="shared" si="8"/>
        <v>677882.91309523815</v>
      </c>
      <c r="L57" s="5"/>
      <c r="M57" s="2">
        <f>+GETPIVOTDATA("LBS_UPDATED",[2]SALESCONTRACTS!$E$1,"BRANCH_NUMBER",541,"COMMODITY_CODE","01")/60</f>
        <v>0</v>
      </c>
      <c r="N57" s="2">
        <f>+GETPIVOTDATA("LBS_UPDATED",[2]SALESCONTRACTS!$E$1,"BRANCH_NUMBER",541,"COMMODITY_CODE","02")/56</f>
        <v>0</v>
      </c>
      <c r="O57" s="2">
        <f>+GETPIVOTDATA("LBS_UPDATED",[2]SALESCONTRACTS!$E$1,"BRANCH_NUMBER",541,"COMMODITY_CODE","04")/56</f>
        <v>967.5</v>
      </c>
      <c r="P57" s="2">
        <f>+GETPIVOTDATA("LBS_UPDATED",[2]SALESCONTRACTS!$E$1,"BRANCH_NUMBER",541,"COMMODITY_CODE","03")/60</f>
        <v>-2</v>
      </c>
      <c r="Q57" s="2">
        <f>+GETPIVOTDATA("LBS_UPDATED",[2]SALESCONTRACTS!$E$1,"BRANCH_NUMBER",541,"COMMODITY_CODE","22")/25</f>
        <v>0</v>
      </c>
      <c r="R57" s="5"/>
      <c r="S57" s="5"/>
      <c r="T57" s="5"/>
      <c r="U57" s="5"/>
      <c r="V57" s="6"/>
      <c r="W57" s="6"/>
      <c r="X57" s="7"/>
      <c r="Y57" s="4">
        <f t="shared" si="9"/>
        <v>676917.41309523815</v>
      </c>
      <c r="Z57" s="5"/>
      <c r="AA57" s="5">
        <v>1053000</v>
      </c>
      <c r="AB57" s="5"/>
      <c r="AC57" s="5"/>
      <c r="AD57" s="8">
        <f t="shared" si="10"/>
        <v>375117.08690476185</v>
      </c>
      <c r="AE57" s="8"/>
      <c r="AF57" s="4">
        <f t="shared" si="11"/>
        <v>376082.58690476185</v>
      </c>
      <c r="AG57" s="5"/>
      <c r="AH57" s="9"/>
      <c r="AI57" s="9"/>
      <c r="AJ57" s="10"/>
      <c r="AK57" s="6"/>
      <c r="AL57" s="7"/>
      <c r="AM57" s="11">
        <v>420000</v>
      </c>
      <c r="AN57" s="38"/>
      <c r="AO57" s="7"/>
      <c r="AP57" s="4">
        <f t="shared" si="12"/>
        <v>-43917.413095238153</v>
      </c>
      <c r="AQ57" s="12"/>
      <c r="AR57" s="13"/>
      <c r="AS57" s="13"/>
      <c r="AT57" s="14"/>
      <c r="AU57" s="14"/>
      <c r="AV57" s="25">
        <v>45000</v>
      </c>
      <c r="AW57" s="12"/>
      <c r="AX57" s="14"/>
      <c r="AY57" s="16"/>
      <c r="AZ57" s="4">
        <f t="shared" si="13"/>
        <v>1082.5869047618471</v>
      </c>
      <c r="BA57" s="14"/>
      <c r="BB57" s="14"/>
      <c r="BC57" s="42"/>
      <c r="BD57" s="14"/>
      <c r="BE57" s="16"/>
      <c r="BF57" s="4">
        <f t="shared" si="14"/>
        <v>1082.5869047618471</v>
      </c>
      <c r="BG57" s="18"/>
      <c r="BH57" s="18"/>
      <c r="BI57" s="12"/>
      <c r="BJ57" s="18"/>
      <c r="BK57" s="18"/>
      <c r="BL57" s="19"/>
      <c r="BM57" s="20">
        <f t="shared" si="15"/>
        <v>1082.5869047618471</v>
      </c>
    </row>
    <row r="58" spans="1:65" ht="15" thickBot="1" x14ac:dyDescent="0.35">
      <c r="A58">
        <v>542</v>
      </c>
      <c r="B58" t="s">
        <v>159</v>
      </c>
      <c r="C58" s="1" t="s">
        <v>103</v>
      </c>
      <c r="D58" s="2">
        <f>+GETPIVOTDATA("ADJBAL",[2]AGTRAXDATA!$F$1,"BRANCH_NUMBER",542,"COMMODITY_CODE","01")/60</f>
        <v>544383.96666666667</v>
      </c>
      <c r="E58" s="2">
        <f>+GETPIVOTDATA("ADJBAL",[2]AGTRAXDATA!$F$1,"BRANCH_NUMBER",542,"COMMODITY_CODE","02")/56</f>
        <v>166634.42857142858</v>
      </c>
      <c r="F58" s="2">
        <f>+GETPIVOTDATA("ADJBAL",[2]AGTRAXDATA!$F$1,"BRANCH_NUMBER",542,"COMMODITY_CODE","04")/56</f>
        <v>0</v>
      </c>
      <c r="G58" s="2">
        <f>+GETPIVOTDATA("ADJBAL",[2]AGTRAXDATA!$F$1,"BRANCH_NUMBER",542,"COMMODITY_CODE","03")/60</f>
        <v>52952.466666666667</v>
      </c>
      <c r="H58" s="2">
        <f>+GETPIVOTDATA("ADJBAL",[2]AGTRAXDATA!$F$1,"BRANCH_NUMBER",542,"COMMODITY_CODE","22")/25</f>
        <v>0</v>
      </c>
      <c r="I58" s="3">
        <v>0</v>
      </c>
      <c r="J58" s="3"/>
      <c r="K58" s="4">
        <f t="shared" si="8"/>
        <v>763970.86190476187</v>
      </c>
      <c r="L58" s="5"/>
      <c r="M58" s="2">
        <f>+GETPIVOTDATA("LBS_UPDATED",[2]SALESCONTRACTS!$E$1,"BRANCH_NUMBER",542,"COMMODITY_CODE","01")/60</f>
        <v>0</v>
      </c>
      <c r="N58" s="2">
        <f>+GETPIVOTDATA("LBS_UPDATED",[2]SALESCONTRACTS!$E$1,"BRANCH_NUMBER",542,"COMMODITY_CODE","02")/56</f>
        <v>0</v>
      </c>
      <c r="O58" s="2">
        <f>+GETPIVOTDATA("LBS_UPDATED",[2]SALESCONTRACTS!$E$1,"BRANCH_NUMBER",542,"COMMODITY_CODE","04")/56</f>
        <v>0</v>
      </c>
      <c r="P58" s="2">
        <f>+GETPIVOTDATA("LBS_UPDATED",[2]SALESCONTRACTS!$E$1,"BRANCH_NUMBER",542,"COMMODITY_CODE","03")/60</f>
        <v>0</v>
      </c>
      <c r="Q58" s="2">
        <f>+GETPIVOTDATA("LBS_UPDATED",[2]SALESCONTRACTS!$E$1,"BRANCH_NUMBER",542,"COMMODITY_CODE","22")/25</f>
        <v>0</v>
      </c>
      <c r="R58" s="5"/>
      <c r="S58" s="5"/>
      <c r="T58" s="5"/>
      <c r="U58" s="5"/>
      <c r="V58" s="6"/>
      <c r="W58" s="6"/>
      <c r="X58" s="7"/>
      <c r="Y58" s="4">
        <f t="shared" si="9"/>
        <v>763970.86190476187</v>
      </c>
      <c r="Z58" s="5"/>
      <c r="AA58" s="5">
        <v>828900</v>
      </c>
      <c r="AB58" s="5">
        <v>211500</v>
      </c>
      <c r="AC58" s="5"/>
      <c r="AD58" s="8">
        <f t="shared" si="10"/>
        <v>276429.13809523813</v>
      </c>
      <c r="AE58" s="8"/>
      <c r="AF58" s="4">
        <f t="shared" si="11"/>
        <v>276429.13809523813</v>
      </c>
      <c r="AG58" s="5"/>
      <c r="AH58" s="9"/>
      <c r="AI58" s="9"/>
      <c r="AJ58" s="10"/>
      <c r="AK58" s="6"/>
      <c r="AL58" s="7"/>
      <c r="AM58" s="11">
        <v>350000</v>
      </c>
      <c r="AN58" s="38"/>
      <c r="AO58" s="7"/>
      <c r="AP58" s="4">
        <f t="shared" si="12"/>
        <v>-73570.86190476187</v>
      </c>
      <c r="AQ58" s="12"/>
      <c r="AR58" s="13"/>
      <c r="AS58" s="41"/>
      <c r="AT58" s="14"/>
      <c r="AU58" s="18">
        <v>70000</v>
      </c>
      <c r="AV58" s="14"/>
      <c r="AW58" s="18"/>
      <c r="AX58" s="14"/>
      <c r="AY58" s="16"/>
      <c r="AZ58" s="4">
        <f t="shared" si="13"/>
        <v>-3570.8619047618704</v>
      </c>
      <c r="BA58" s="14"/>
      <c r="BB58" s="14"/>
      <c r="BC58" s="14"/>
      <c r="BD58" s="14"/>
      <c r="BE58" s="16"/>
      <c r="BF58" s="4">
        <f t="shared" si="14"/>
        <v>-3570.8619047618704</v>
      </c>
      <c r="BG58" s="18"/>
      <c r="BH58" s="12"/>
      <c r="BI58" s="17"/>
      <c r="BJ58" s="18"/>
      <c r="BK58" s="18"/>
      <c r="BL58" s="19"/>
      <c r="BM58" s="20">
        <f t="shared" si="15"/>
        <v>-3570.8619047618704</v>
      </c>
    </row>
    <row r="59" spans="1:65" ht="15" thickBot="1" x14ac:dyDescent="0.35">
      <c r="A59">
        <v>543</v>
      </c>
      <c r="B59" t="s">
        <v>158</v>
      </c>
      <c r="C59" s="1" t="s">
        <v>104</v>
      </c>
      <c r="D59" s="2">
        <f>+GETPIVOTDATA("ADJBAL",[2]AGTRAXDATA!$F$1,"BRANCH_NUMBER",543,"COMMODITY_CODE","01")/60</f>
        <v>347721.83333333331</v>
      </c>
      <c r="E59" s="2">
        <f>+GETPIVOTDATA("ADJBAL",[2]AGTRAXDATA!$F$1,"BRANCH_NUMBER",543,"COMMODITY_CODE","02")/56</f>
        <v>249648.94642857142</v>
      </c>
      <c r="F59" s="2">
        <f>+GETPIVOTDATA("ADJBAL",[2]AGTRAXDATA!$F$1,"BRANCH_NUMBER",543,"COMMODITY_CODE","04")/56</f>
        <v>39315.625</v>
      </c>
      <c r="G59" s="2">
        <f>+GETPIVOTDATA("ADJBAL",[2]AGTRAXDATA!$F$1,"BRANCH_NUMBER",543,"COMMODITY_CODE","03")/60</f>
        <v>18969.05</v>
      </c>
      <c r="H59" s="2">
        <f>+GETPIVOTDATA("ADJBAL",[2]AGTRAXDATA!$F$1,"BRANCH_NUMBER",543,"COMMODITY_CODE","22")/25</f>
        <v>0</v>
      </c>
      <c r="I59" s="3">
        <v>0</v>
      </c>
      <c r="J59" s="3"/>
      <c r="K59" s="4">
        <f t="shared" si="8"/>
        <v>655655.45476190478</v>
      </c>
      <c r="L59" s="5"/>
      <c r="M59" s="2">
        <f>+GETPIVOTDATA("LBS_UPDATED",[2]SALESCONTRACTS!$E$1,"BRANCH_NUMBER",543,"COMMODITY_CODE","01")/60</f>
        <v>120776.63333333333</v>
      </c>
      <c r="N59" s="2">
        <f>+GETPIVOTDATA("LBS_UPDATED",[2]SALESCONTRACTS!$E$1,"BRANCH_NUMBER",543,"COMMODITY_CODE","02")/56</f>
        <v>0</v>
      </c>
      <c r="O59" s="2">
        <f>+GETPIVOTDATA("LBS_UPDATED",[2]SALESCONTRACTS!$E$1,"BRANCH_NUMBER",543,"COMMODITY_CODE","04")/56</f>
        <v>0</v>
      </c>
      <c r="P59" s="2">
        <f>+GETPIVOTDATA("LBS_UPDATED",[2]SALESCONTRACTS!$E$1,"BRANCH_NUMBER",543,"COMMODITY_CODE","03")/60</f>
        <v>0</v>
      </c>
      <c r="Q59" s="2">
        <f>+GETPIVOTDATA("LBS_UPDATED",[2]SALESCONTRACTS!$E$1,"BRANCH_NUMBER",543,"COMMODITY_CODE","22")/25</f>
        <v>0</v>
      </c>
      <c r="R59" s="5"/>
      <c r="S59" s="5"/>
      <c r="T59" s="5"/>
      <c r="U59" s="5"/>
      <c r="V59" s="6"/>
      <c r="W59" s="6"/>
      <c r="X59" s="7"/>
      <c r="Y59" s="4">
        <f t="shared" si="9"/>
        <v>534878.82142857148</v>
      </c>
      <c r="Z59" s="5"/>
      <c r="AA59" s="5">
        <v>490000</v>
      </c>
      <c r="AB59" s="5">
        <v>950000</v>
      </c>
      <c r="AC59" s="5"/>
      <c r="AD59" s="8">
        <f t="shared" si="10"/>
        <v>784344.54523809522</v>
      </c>
      <c r="AE59" s="8"/>
      <c r="AF59" s="4">
        <f t="shared" si="11"/>
        <v>905121.17857142852</v>
      </c>
      <c r="AG59" s="5"/>
      <c r="AH59" s="9"/>
      <c r="AI59" s="9"/>
      <c r="AJ59" s="10"/>
      <c r="AK59" s="6"/>
      <c r="AL59" s="7"/>
      <c r="AM59" s="11">
        <v>800000</v>
      </c>
      <c r="AN59" s="39"/>
      <c r="AO59" s="7"/>
      <c r="AP59" s="4">
        <f t="shared" si="12"/>
        <v>105121.17857142852</v>
      </c>
      <c r="AQ59" s="12"/>
      <c r="AR59" s="13"/>
      <c r="AS59" s="41"/>
      <c r="AT59" s="14">
        <v>227000</v>
      </c>
      <c r="AU59" s="14"/>
      <c r="AV59" s="14"/>
      <c r="AW59" s="18"/>
      <c r="AX59" s="14"/>
      <c r="AY59" s="16"/>
      <c r="AZ59" s="4">
        <f t="shared" si="13"/>
        <v>332121.17857142852</v>
      </c>
      <c r="BA59" s="14"/>
      <c r="BB59" s="14"/>
      <c r="BC59" s="42"/>
      <c r="BD59" s="14"/>
      <c r="BE59" s="16"/>
      <c r="BF59" s="4">
        <f t="shared" si="14"/>
        <v>332121.17857142852</v>
      </c>
      <c r="BG59" s="18"/>
      <c r="BH59" s="14"/>
      <c r="BI59" s="25"/>
      <c r="BJ59" s="18"/>
      <c r="BK59" s="18"/>
      <c r="BL59" s="19"/>
      <c r="BM59" s="20">
        <f t="shared" si="15"/>
        <v>332121.17857142852</v>
      </c>
    </row>
    <row r="60" spans="1:65" ht="15" thickBot="1" x14ac:dyDescent="0.35">
      <c r="A60">
        <v>544</v>
      </c>
      <c r="B60" t="s">
        <v>157</v>
      </c>
      <c r="C60" s="1" t="s">
        <v>105</v>
      </c>
      <c r="D60" s="2">
        <f>+GETPIVOTDATA("ADJBAL",[2]AGTRAXDATA!$F$1,"BRANCH_NUMBER",544,"COMMODITY_CODE","01")/60</f>
        <v>214646.48333333334</v>
      </c>
      <c r="E60" s="2">
        <f>+GETPIVOTDATA("ADJBAL",[2]AGTRAXDATA!$F$1,"BRANCH_NUMBER",544,"COMMODITY_CODE","02")/56</f>
        <v>336976.26785714284</v>
      </c>
      <c r="F60" s="2">
        <f>+GETPIVOTDATA("ADJBAL",[2]AGTRAXDATA!$F$1,"BRANCH_NUMBER",544,"COMMODITY_CODE","04")/56</f>
        <v>1478.4821428571429</v>
      </c>
      <c r="G60" s="2">
        <f>+GETPIVOTDATA("ADJBAL",[2]AGTRAXDATA!$F$1,"BRANCH_NUMBER",544,"COMMODITY_CODE","03")/60</f>
        <v>69904.933333333334</v>
      </c>
      <c r="H60" s="2">
        <f>+GETPIVOTDATA("ADJBAL",[2]AGTRAXDATA!$F$1,"BRANCH_NUMBER",544,"COMMODITY_CODE","22")/25</f>
        <v>0</v>
      </c>
      <c r="I60" s="3">
        <v>0</v>
      </c>
      <c r="J60" s="3"/>
      <c r="K60" s="4">
        <f t="shared" si="8"/>
        <v>623006.16666666663</v>
      </c>
      <c r="L60" s="5"/>
      <c r="M60" s="2">
        <f>+GETPIVOTDATA("LBS_UPDATED",[2]SALESCONTRACTS!$E$1,"BRANCH_NUMBER",544,"COMMODITY_CODE","01")/60</f>
        <v>34751.366666666669</v>
      </c>
      <c r="N60" s="2">
        <f>+GETPIVOTDATA("LBS_UPDATED",[2]SALESCONTRACTS!$E$1,"BRANCH_NUMBER",544,"COMMODITY_CODE","02")/56</f>
        <v>0</v>
      </c>
      <c r="O60" s="2">
        <f>+GETPIVOTDATA("LBS_UPDATED",[2]SALESCONTRACTS!$E$1,"BRANCH_NUMBER",544,"COMMODITY_CODE","04")/56</f>
        <v>0</v>
      </c>
      <c r="P60" s="2">
        <f>+GETPIVOTDATA("LBS_UPDATED",[2]SALESCONTRACTS!$E$1,"BRANCH_NUMBER",544,"COMMODITY_CODE","03")/60</f>
        <v>0</v>
      </c>
      <c r="Q60" s="2">
        <f>+GETPIVOTDATA("LBS_UPDATED",[2]SALESCONTRACTS!$E$1,"BRANCH_NUMBER",544,"COMMODITY_CODE","22")/25</f>
        <v>0</v>
      </c>
      <c r="R60" s="5"/>
      <c r="S60" s="5"/>
      <c r="T60" s="5"/>
      <c r="U60" s="5"/>
      <c r="V60" s="6"/>
      <c r="W60" s="6"/>
      <c r="X60" s="7"/>
      <c r="Y60" s="4">
        <f t="shared" si="9"/>
        <v>588254.79999999993</v>
      </c>
      <c r="Z60" s="5"/>
      <c r="AA60" s="5">
        <v>839000</v>
      </c>
      <c r="AB60" s="5"/>
      <c r="AC60" s="5"/>
      <c r="AD60" s="8">
        <f t="shared" si="10"/>
        <v>215993.83333333337</v>
      </c>
      <c r="AE60" s="8"/>
      <c r="AF60" s="4">
        <f t="shared" si="11"/>
        <v>250745.20000000007</v>
      </c>
      <c r="AG60" s="5"/>
      <c r="AH60" s="9"/>
      <c r="AI60" s="9"/>
      <c r="AJ60" s="10"/>
      <c r="AK60" s="6"/>
      <c r="AL60" s="7"/>
      <c r="AM60" s="11">
        <v>750000</v>
      </c>
      <c r="AN60" s="39"/>
      <c r="AO60" s="7"/>
      <c r="AP60" s="4">
        <f t="shared" si="12"/>
        <v>-499254.79999999993</v>
      </c>
      <c r="AQ60" s="12"/>
      <c r="AR60" s="13"/>
      <c r="AS60" s="41"/>
      <c r="AT60" s="14"/>
      <c r="AU60" s="14">
        <v>338000</v>
      </c>
      <c r="AV60" s="17"/>
      <c r="AW60" s="18"/>
      <c r="AX60" s="14"/>
      <c r="AY60" s="16"/>
      <c r="AZ60" s="4">
        <f t="shared" si="13"/>
        <v>-161254.79999999993</v>
      </c>
      <c r="BA60" s="14"/>
      <c r="BB60" s="14"/>
      <c r="BC60" s="14"/>
      <c r="BD60" s="14"/>
      <c r="BE60" s="16"/>
      <c r="BF60" s="4">
        <f t="shared" si="14"/>
        <v>-161254.79999999993</v>
      </c>
      <c r="BG60" s="18">
        <v>100000</v>
      </c>
      <c r="BH60" s="18"/>
      <c r="BI60" s="17"/>
      <c r="BJ60" s="18">
        <v>70000</v>
      </c>
      <c r="BK60" s="18"/>
      <c r="BL60" s="19"/>
      <c r="BM60" s="20">
        <f t="shared" si="15"/>
        <v>8745.2000000000698</v>
      </c>
    </row>
    <row r="61" spans="1:65" ht="15" thickBot="1" x14ac:dyDescent="0.35">
      <c r="A61">
        <v>545</v>
      </c>
      <c r="B61" t="s">
        <v>156</v>
      </c>
      <c r="C61" s="1" t="s">
        <v>106</v>
      </c>
      <c r="D61" s="2">
        <f>+GETPIVOTDATA("ADJBAL",[2]AGTRAXDATA!$F$1,"BRANCH_NUMBER",545,"COMMODITY_CODE","01")/60</f>
        <v>88472.6</v>
      </c>
      <c r="E61" s="2">
        <f>+GETPIVOTDATA("ADJBAL",[2]AGTRAXDATA!$F$1,"BRANCH_NUMBER",545,"COMMODITY_CODE","02")/56</f>
        <v>251912.03571428571</v>
      </c>
      <c r="F61" s="2">
        <f>+GETPIVOTDATA("ADJBAL",[2]AGTRAXDATA!$F$1,"BRANCH_NUMBER",545,"COMMODITY_CODE","04")/56</f>
        <v>0</v>
      </c>
      <c r="G61" s="2">
        <f>+GETPIVOTDATA("ADJBAL",[2]AGTRAXDATA!$F$1,"BRANCH_NUMBER",545,"COMMODITY_CODE","03")/60</f>
        <v>49512.916666666664</v>
      </c>
      <c r="H61" s="2">
        <f>+GETPIVOTDATA("ADJBAL",[2]AGTRAXDATA!$F$1,"BRANCH_NUMBER",545,"COMMODITY_CODE","22")/60</f>
        <v>0</v>
      </c>
      <c r="I61" s="3">
        <v>0</v>
      </c>
      <c r="J61" s="3"/>
      <c r="K61" s="4">
        <f t="shared" si="8"/>
        <v>389897.5523809524</v>
      </c>
      <c r="L61" s="5"/>
      <c r="M61" s="2">
        <f>+GETPIVOTDATA("LBS_UPDATED",[2]SALESCONTRACTS!$E$1,"BRANCH_NUMBER",545,"COMMODITY_CODE","01")/60</f>
        <v>0</v>
      </c>
      <c r="N61" s="2">
        <f>+GETPIVOTDATA("LBS_UPDATED",[2]SALESCONTRACTS!$E$1,"BRANCH_NUMBER",545,"COMMODITY_CODE","02")/56</f>
        <v>0</v>
      </c>
      <c r="O61" s="2">
        <f>+GETPIVOTDATA("LBS_UPDATED",[2]SALESCONTRACTS!$E$1,"BRANCH_NUMBER",545,"COMMODITY_CODE","04")/56</f>
        <v>20.714285714285715</v>
      </c>
      <c r="P61" s="2">
        <f>+GETPIVOTDATA("LBS_UPDATED",[2]SALESCONTRACTS!$E$1,"BRANCH_NUMBER",545,"COMMODITY_CODE","03")/60</f>
        <v>0</v>
      </c>
      <c r="Q61" s="2">
        <f>+GETPIVOTDATA("LBS_UPDATED",[2]SALESCONTRACTS!$E$1,"BRANCH_NUMBER",545,"COMMODITY_CODE","22")/25</f>
        <v>0</v>
      </c>
      <c r="R61" s="5"/>
      <c r="S61" s="5"/>
      <c r="T61" s="5"/>
      <c r="U61" s="5"/>
      <c r="V61" s="6"/>
      <c r="W61" s="6"/>
      <c r="X61" s="7"/>
      <c r="Y61" s="4">
        <f t="shared" si="9"/>
        <v>389876.83809523814</v>
      </c>
      <c r="Z61" s="5"/>
      <c r="AA61" s="5">
        <v>529000</v>
      </c>
      <c r="AB61" s="5"/>
      <c r="AC61" s="5"/>
      <c r="AD61" s="8">
        <f t="shared" si="10"/>
        <v>139102.4476190476</v>
      </c>
      <c r="AE61" s="8"/>
      <c r="AF61" s="4">
        <f t="shared" si="11"/>
        <v>139123.16190476186</v>
      </c>
      <c r="AG61" s="5"/>
      <c r="AH61" s="9"/>
      <c r="AI61" s="9"/>
      <c r="AJ61" s="10"/>
      <c r="AK61" s="6"/>
      <c r="AL61" s="7"/>
      <c r="AM61" s="11">
        <v>450000</v>
      </c>
      <c r="AN61" s="38"/>
      <c r="AO61" s="7"/>
      <c r="AP61" s="4">
        <f t="shared" si="12"/>
        <v>-310876.83809523814</v>
      </c>
      <c r="AQ61" s="12"/>
      <c r="AR61" s="13"/>
      <c r="AS61" s="13"/>
      <c r="AT61" s="14"/>
      <c r="AU61" s="14">
        <v>225000</v>
      </c>
      <c r="AV61" s="25"/>
      <c r="AW61" s="18"/>
      <c r="AX61" s="14"/>
      <c r="AY61" s="16"/>
      <c r="AZ61" s="4">
        <f t="shared" si="13"/>
        <v>-85876.838095238141</v>
      </c>
      <c r="BA61" s="14"/>
      <c r="BB61" s="14"/>
      <c r="BC61" s="42"/>
      <c r="BD61" s="14"/>
      <c r="BE61" s="16"/>
      <c r="BF61" s="4">
        <f t="shared" si="14"/>
        <v>-85876.838095238141</v>
      </c>
      <c r="BG61" s="18"/>
      <c r="BH61" s="18">
        <v>27000</v>
      </c>
      <c r="BI61" s="25"/>
      <c r="BJ61" s="18">
        <v>49000</v>
      </c>
      <c r="BK61" s="18"/>
      <c r="BL61" s="19"/>
      <c r="BM61" s="20">
        <f t="shared" si="15"/>
        <v>-9876.8380952381412</v>
      </c>
    </row>
    <row r="62" spans="1:65" ht="15" thickBot="1" x14ac:dyDescent="0.35">
      <c r="A62">
        <v>546</v>
      </c>
      <c r="B62" t="s">
        <v>155</v>
      </c>
      <c r="C62" s="1" t="s">
        <v>107</v>
      </c>
      <c r="D62" s="2">
        <f>+GETPIVOTDATA("ADJBAL",[2]AGTRAXDATA!$F$1,"BRANCH_NUMBER",546,"COMMODITY_CODE","01")/60</f>
        <v>0</v>
      </c>
      <c r="E62" s="2">
        <f>+GETPIVOTDATA("ADJBAL",[2]AGTRAXDATA!$F$1,"BRANCH_NUMBER",546,"COMMODITY_CODE","02")/56</f>
        <v>256487.53571428571</v>
      </c>
      <c r="F62" s="2">
        <f>+GETPIVOTDATA("ADJBAL",[2]AGTRAXDATA!$F$1,"BRANCH_NUMBER",546,"COMMODITY_CODE","04")/56</f>
        <v>0</v>
      </c>
      <c r="G62" s="2">
        <f>+GETPIVOTDATA("ADJBAL",[2]AGTRAXDATA!$F$1,"BRANCH_NUMBER",546,"COMMODITY_CODE","03")/60</f>
        <v>114931.56666666667</v>
      </c>
      <c r="H62" s="2">
        <f>+GETPIVOTDATA("ADJBAL",[2]AGTRAXDATA!$F$1,"BRANCH_NUMBER",546,"COMMODITY_CODE","22")/25</f>
        <v>0</v>
      </c>
      <c r="I62" s="3">
        <v>0</v>
      </c>
      <c r="J62" s="3"/>
      <c r="K62" s="4">
        <f t="shared" si="8"/>
        <v>371419.10238095239</v>
      </c>
      <c r="L62" s="5"/>
      <c r="M62" s="2">
        <f>+GETPIVOTDATA("LBS_UPDATED",[2]SALESCONTRACTS!$E$1,"BRANCH_NUMBER",546,"COMMODITY_CODE","01")/60</f>
        <v>0</v>
      </c>
      <c r="N62" s="2">
        <f>+GETPIVOTDATA("LBS_UPDATED",[2]SALESCONTRACTS!$E$1,"BRANCH_NUMBER",546,"COMMODITY_CODE","02")/56</f>
        <v>20100</v>
      </c>
      <c r="O62" s="2">
        <f>+GETPIVOTDATA("LBS_UPDATED",[2]SALESCONTRACTS!$E$1,"BRANCH_NUMBER",546,"COMMODITY_CODE","04")/56</f>
        <v>0</v>
      </c>
      <c r="P62" s="2">
        <f>+GETPIVOTDATA("LBS_UPDATED",[2]SALESCONTRACTS!$E$1,"BRANCH_NUMBER",546,"COMMODITY_CODE","03")/60</f>
        <v>0</v>
      </c>
      <c r="Q62" s="2">
        <f>+GETPIVOTDATA("LBS_UPDATED",[2]SALESCONTRACTS!$E$1,"BRANCH_NUMBER",546,"COMMODITY_CODE","22")/25</f>
        <v>0</v>
      </c>
      <c r="R62" s="5"/>
      <c r="S62" s="5"/>
      <c r="T62" s="5"/>
      <c r="U62" s="5"/>
      <c r="V62" s="6"/>
      <c r="W62" s="6"/>
      <c r="X62" s="7"/>
      <c r="Y62" s="4">
        <f t="shared" si="9"/>
        <v>351319.10238095239</v>
      </c>
      <c r="Z62" s="5"/>
      <c r="AA62" s="5">
        <v>428000</v>
      </c>
      <c r="AB62" s="5"/>
      <c r="AC62" s="5"/>
      <c r="AD62" s="8">
        <f t="shared" si="10"/>
        <v>56580.89761904761</v>
      </c>
      <c r="AE62" s="8"/>
      <c r="AF62" s="4">
        <f t="shared" si="11"/>
        <v>76680.89761904761</v>
      </c>
      <c r="AG62" s="5"/>
      <c r="AH62" s="9"/>
      <c r="AI62" s="9"/>
      <c r="AJ62" s="10"/>
      <c r="AK62" s="6"/>
      <c r="AL62" s="7"/>
      <c r="AM62" s="11">
        <v>497000</v>
      </c>
      <c r="AN62" s="38"/>
      <c r="AO62" s="7"/>
      <c r="AP62" s="4">
        <f t="shared" si="12"/>
        <v>-420319.10238095239</v>
      </c>
      <c r="AQ62" s="12"/>
      <c r="AR62" s="13"/>
      <c r="AS62" s="13"/>
      <c r="AT62" s="14"/>
      <c r="AU62" s="14"/>
      <c r="AV62" s="25"/>
      <c r="AW62" s="18"/>
      <c r="AX62" s="14"/>
      <c r="AY62" s="16"/>
      <c r="AZ62" s="4">
        <f t="shared" si="13"/>
        <v>-420319.10238095239</v>
      </c>
      <c r="BA62" s="14"/>
      <c r="BB62" s="14"/>
      <c r="BC62" s="42"/>
      <c r="BD62" s="14"/>
      <c r="BE62" s="16"/>
      <c r="BF62" s="4">
        <f t="shared" si="14"/>
        <v>-420319.10238095239</v>
      </c>
      <c r="BG62" s="18">
        <v>15000</v>
      </c>
      <c r="BH62" s="18">
        <v>236000</v>
      </c>
      <c r="BI62" s="25"/>
      <c r="BJ62" s="18">
        <v>115000</v>
      </c>
      <c r="BK62" s="18"/>
      <c r="BL62" s="19"/>
      <c r="BM62" s="20">
        <f t="shared" si="15"/>
        <v>-54319.10238095239</v>
      </c>
    </row>
    <row r="63" spans="1:65" ht="15" thickBot="1" x14ac:dyDescent="0.35">
      <c r="A63">
        <v>547</v>
      </c>
      <c r="B63" t="s">
        <v>154</v>
      </c>
      <c r="C63" s="1" t="s">
        <v>108</v>
      </c>
      <c r="D63" s="2">
        <f>+GETPIVOTDATA("ADJBAL",[2]AGTRAXDATA!$F$1,"BRANCH_NUMBER",547,"COMMODITY_CODE","01")/60</f>
        <v>556.33333333333337</v>
      </c>
      <c r="E63" s="2">
        <f>+GETPIVOTDATA("ADJBAL",[2]AGTRAXDATA!$F$1,"BRANCH_NUMBER",547,"COMMODITY_CODE","02")/56</f>
        <v>369005.28571428574</v>
      </c>
      <c r="F63" s="2">
        <f>+GETPIVOTDATA("ADJBAL",[2]AGTRAXDATA!$F$1,"BRANCH_NUMBER",547,"COMMODITY_CODE","04")/56</f>
        <v>4114.4464285714284</v>
      </c>
      <c r="G63" s="2">
        <f>+GETPIVOTDATA("ADJBAL",[2]AGTRAXDATA!$F$1,"BRANCH_NUMBER",547,"COMMODITY_CODE","03")/60</f>
        <v>105933.55</v>
      </c>
      <c r="H63" s="2">
        <f>+GETPIVOTDATA("ADJBAL",[2]AGTRAXDATA!$F$1,"BRANCH_NUMBER",547,"COMMODITY_CODE","22")/25</f>
        <v>0</v>
      </c>
      <c r="I63" s="3">
        <v>0</v>
      </c>
      <c r="J63" s="3"/>
      <c r="K63" s="4">
        <f t="shared" si="8"/>
        <v>479609.61547619046</v>
      </c>
      <c r="L63" s="5"/>
      <c r="M63" s="2">
        <f>+GETPIVOTDATA("LBS_UPDATED",[2]SALESCONTRACTS!$E$1,"BRANCH_NUMBER",547,"COMMODITY_CODE","01")/60</f>
        <v>0</v>
      </c>
      <c r="N63" s="2">
        <f>+GETPIVOTDATA("LBS_UPDATED",[2]SALESCONTRACTS!$E$1,"BRANCH_NUMBER",547,"COMMODITY_CODE","02")/56</f>
        <v>0</v>
      </c>
      <c r="O63" s="2">
        <f>+GETPIVOTDATA("LBS_UPDATED",[2]SALESCONTRACTS!$E$1,"BRANCH_NUMBER",547,"COMMODITY_CODE","04")/56</f>
        <v>783.21428571428567</v>
      </c>
      <c r="P63" s="2">
        <f>+GETPIVOTDATA("LBS_UPDATED",[2]SALESCONTRACTS!$E$1,"BRANCH_NUMBER",547,"COMMODITY_CODE","03")/60</f>
        <v>2251.9499999999998</v>
      </c>
      <c r="Q63" s="2">
        <f>+GETPIVOTDATA("LBS_UPDATED",[2]SALESCONTRACTS!$E$1,"BRANCH_NUMBER",547,"COMMODITY_CODE","22")/25</f>
        <v>0</v>
      </c>
      <c r="R63" s="5"/>
      <c r="S63" s="5"/>
      <c r="T63" s="5"/>
      <c r="U63" s="5"/>
      <c r="V63" s="6"/>
      <c r="W63" s="6"/>
      <c r="X63" s="7"/>
      <c r="Y63" s="4">
        <f t="shared" si="9"/>
        <v>476574.45119047619</v>
      </c>
      <c r="Z63" s="5"/>
      <c r="AA63" s="5">
        <v>561000</v>
      </c>
      <c r="AB63" s="5"/>
      <c r="AC63" s="5"/>
      <c r="AD63" s="8">
        <f t="shared" si="10"/>
        <v>81390.384523809538</v>
      </c>
      <c r="AE63" s="8"/>
      <c r="AF63" s="4">
        <f t="shared" si="11"/>
        <v>84425.548809523811</v>
      </c>
      <c r="AG63" s="5"/>
      <c r="AH63" s="9"/>
      <c r="AI63" s="9"/>
      <c r="AJ63" s="10"/>
      <c r="AK63" s="6"/>
      <c r="AL63" s="7"/>
      <c r="AM63" s="11">
        <v>550000</v>
      </c>
      <c r="AN63" s="38"/>
      <c r="AO63" s="7"/>
      <c r="AP63" s="4">
        <f t="shared" si="12"/>
        <v>-465574.45119047619</v>
      </c>
      <c r="AQ63" s="12"/>
      <c r="AR63" s="13"/>
      <c r="AS63" s="13"/>
      <c r="AT63" s="14"/>
      <c r="AU63" s="18">
        <v>370000</v>
      </c>
      <c r="AV63" s="12"/>
      <c r="AW63" s="18">
        <v>104000</v>
      </c>
      <c r="AX63" s="14"/>
      <c r="AY63" s="16"/>
      <c r="AZ63" s="4">
        <f t="shared" si="13"/>
        <v>8425.5488095238106</v>
      </c>
      <c r="BA63" s="14"/>
      <c r="BB63" s="14"/>
      <c r="BC63" s="17"/>
      <c r="BD63" s="14"/>
      <c r="BE63" s="16"/>
      <c r="BF63" s="4">
        <f t="shared" si="14"/>
        <v>8425.5488095238106</v>
      </c>
      <c r="BG63" s="18"/>
      <c r="BH63" s="12"/>
      <c r="BI63" s="17"/>
      <c r="BJ63" s="18"/>
      <c r="BK63" s="18"/>
      <c r="BL63" s="19"/>
      <c r="BM63" s="20">
        <f t="shared" si="15"/>
        <v>8425.5488095238106</v>
      </c>
    </row>
    <row r="64" spans="1:65" ht="15" thickBot="1" x14ac:dyDescent="0.35">
      <c r="A64">
        <v>548</v>
      </c>
      <c r="B64" t="s">
        <v>153</v>
      </c>
      <c r="C64" s="1" t="s">
        <v>109</v>
      </c>
      <c r="D64" s="2">
        <f>+GETPIVOTDATA("ADJBAL",[2]AGTRAXDATA!$F$1,"BRANCH_NUMBER",548,"COMMODITY_CODE","01")/60</f>
        <v>75672.28333333334</v>
      </c>
      <c r="E64" s="2">
        <f>+GETPIVOTDATA("ADJBAL",[2]AGTRAXDATA!$F$1,"BRANCH_NUMBER",548,"COMMODITY_CODE","02")/56</f>
        <v>142004.125</v>
      </c>
      <c r="F64" s="2">
        <f>+GETPIVOTDATA("ADJBAL",[2]AGTRAXDATA!$F$1,"BRANCH_NUMBER",548,"COMMODITY_CODE","04")/56</f>
        <v>2491.7857142857142</v>
      </c>
      <c r="G64" s="2">
        <f>+GETPIVOTDATA("ADJBAL",[2]AGTRAXDATA!$F$1,"BRANCH_NUMBER",548,"COMMODITY_CODE","03")/60</f>
        <v>43040.966666666667</v>
      </c>
      <c r="H64" s="2">
        <f>+GETPIVOTDATA("ADJBAL",[2]AGTRAXDATA!$F$1,"BRANCH_NUMBER",548,"COMMODITY_CODE","22")/25</f>
        <v>0</v>
      </c>
      <c r="I64" s="3">
        <v>0</v>
      </c>
      <c r="J64" s="3"/>
      <c r="K64" s="4">
        <f t="shared" si="8"/>
        <v>263209.16071428568</v>
      </c>
      <c r="L64" s="5"/>
      <c r="M64" s="2">
        <f>+GETPIVOTDATA("LBS_UPDATED",[2]SALESCONTRACTS!$E$1,"BRANCH_NUMBER",548,"COMMODITY_CODE","01")/60</f>
        <v>0</v>
      </c>
      <c r="N64" s="2">
        <f>+GETPIVOTDATA("LBS_UPDATED",[2]SALESCONTRACTS!$E$1,"BRANCH_NUMBER",548,"COMMODITY_CODE","02")/56</f>
        <v>0</v>
      </c>
      <c r="O64" s="2">
        <f>+GETPIVOTDATA("LBS_UPDATED",[2]SALESCONTRACTS!$E$1,"BRANCH_NUMBER",548,"COMMODITY_CODE","04")/56</f>
        <v>0</v>
      </c>
      <c r="P64" s="2">
        <f>+GETPIVOTDATA("LBS_UPDATED",[2]SALESCONTRACTS!$E$1,"BRANCH_NUMBER",548,"COMMODITY_CODE","03")/60</f>
        <v>6834.7</v>
      </c>
      <c r="Q64" s="2">
        <f>+GETPIVOTDATA("LBS_UPDATED",[2]SALESCONTRACTS!$E$1,"BRANCH_NUMBER",548,"COMMODITY_CODE","22")/25</f>
        <v>0</v>
      </c>
      <c r="R64" s="5"/>
      <c r="S64" s="5"/>
      <c r="T64" s="5"/>
      <c r="U64" s="5"/>
      <c r="V64" s="6"/>
      <c r="W64" s="6"/>
      <c r="X64" s="7"/>
      <c r="Y64" s="4">
        <f t="shared" si="9"/>
        <v>256374.46071428567</v>
      </c>
      <c r="Z64" s="5"/>
      <c r="AA64" s="5">
        <v>460000</v>
      </c>
      <c r="AB64" s="5"/>
      <c r="AC64" s="5"/>
      <c r="AD64" s="8">
        <f t="shared" si="10"/>
        <v>196790.83928571432</v>
      </c>
      <c r="AE64" s="8"/>
      <c r="AF64" s="4">
        <f t="shared" si="11"/>
        <v>203625.53928571433</v>
      </c>
      <c r="AG64" s="5"/>
      <c r="AH64" s="9"/>
      <c r="AI64" s="9"/>
      <c r="AJ64" s="10"/>
      <c r="AK64" s="6"/>
      <c r="AL64" s="7"/>
      <c r="AM64" s="11">
        <v>375000</v>
      </c>
      <c r="AN64" s="38"/>
      <c r="AO64" s="7"/>
      <c r="AP64" s="4">
        <f t="shared" si="12"/>
        <v>-171374.46071428567</v>
      </c>
      <c r="AQ64" s="12"/>
      <c r="AR64" s="13"/>
      <c r="AS64" s="13"/>
      <c r="AT64" s="14"/>
      <c r="AU64" s="14"/>
      <c r="AV64" s="14"/>
      <c r="AW64" s="13">
        <v>34000</v>
      </c>
      <c r="AX64" s="14"/>
      <c r="AY64" s="16"/>
      <c r="AZ64" s="4">
        <f t="shared" si="13"/>
        <v>-137374.46071428567</v>
      </c>
      <c r="BA64" s="14"/>
      <c r="BB64" s="14"/>
      <c r="BC64" s="14"/>
      <c r="BD64" s="13"/>
      <c r="BE64" s="16"/>
      <c r="BF64" s="4">
        <f t="shared" si="14"/>
        <v>-137374.46071428567</v>
      </c>
      <c r="BG64" s="18"/>
      <c r="BH64" s="18">
        <v>142000</v>
      </c>
      <c r="BI64" s="17"/>
      <c r="BJ64" s="13"/>
      <c r="BK64" s="18"/>
      <c r="BL64" s="19"/>
      <c r="BM64" s="20">
        <f t="shared" si="15"/>
        <v>4625.5392857143306</v>
      </c>
    </row>
    <row r="65" spans="1:65" ht="15" thickBot="1" x14ac:dyDescent="0.35">
      <c r="A65">
        <v>549</v>
      </c>
      <c r="B65" t="s">
        <v>152</v>
      </c>
      <c r="C65" s="1" t="s">
        <v>110</v>
      </c>
      <c r="D65" s="2">
        <f>+GETPIVOTDATA("ADJBAL",[2]AGTRAXDATA!$F$1,"BRANCH_NUMBER",549,"COMMODITY_CODE","01")/60</f>
        <v>0</v>
      </c>
      <c r="E65" s="2">
        <f>+GETPIVOTDATA("ADJBAL",[2]AGTRAXDATA!$F$1,"BRANCH_NUMBER",549,"COMMODITY_CODE","02")/56</f>
        <v>141543.53571428571</v>
      </c>
      <c r="F65" s="2">
        <f>+GETPIVOTDATA("ADJBAL",[2]AGTRAXDATA!$F$1,"BRANCH_NUMBER",549,"COMMODITY_CODE","04")/56</f>
        <v>0</v>
      </c>
      <c r="G65" s="2">
        <f>+GETPIVOTDATA("ADJBAL",[2]AGTRAXDATA!$F$1,"BRANCH_NUMBER",549,"COMMODITY_CODE","03")/60</f>
        <v>0</v>
      </c>
      <c r="H65" s="2">
        <f>+GETPIVOTDATA("ADJBAL",[2]AGTRAXDATA!$F$1,"BRANCH_NUMBER",549,"COMMODITY_CODE","22")/25</f>
        <v>0</v>
      </c>
      <c r="I65" s="3">
        <v>0</v>
      </c>
      <c r="J65" s="3"/>
      <c r="K65" s="4">
        <f t="shared" si="8"/>
        <v>141543.53571428571</v>
      </c>
      <c r="L65" s="5"/>
      <c r="M65" s="2">
        <f>+GETPIVOTDATA("LBS_UPDATED",[2]SALESCONTRACTS!$E$1,"BRANCH_NUMBER",549,"COMMODITY_CODE","01")/60</f>
        <v>0</v>
      </c>
      <c r="N65" s="2">
        <f>+GETPIVOTDATA("LBS_UPDATED",[2]SALESCONTRACTS!$E$1,"BRANCH_NUMBER",549,"COMMODITY_CODE","02")/56</f>
        <v>0</v>
      </c>
      <c r="O65" s="2">
        <f>+GETPIVOTDATA("LBS_UPDATED",[2]SALESCONTRACTS!$E$1,"BRANCH_NUMBER",549,"COMMODITY_CODE","04")/56</f>
        <v>0</v>
      </c>
      <c r="P65" s="2">
        <f>+GETPIVOTDATA("LBS_UPDATED",[2]SALESCONTRACTS!$E$1,"BRANCH_NUMBER",549,"COMMODITY_CODE","03")/60</f>
        <v>0</v>
      </c>
      <c r="Q65" s="2">
        <f>+GETPIVOTDATA("LBS_UPDATED",[2]SALESCONTRACTS!$E$1,"BRANCH_NUMBER",549,"COMMODITY_CODE","22")/25</f>
        <v>0</v>
      </c>
      <c r="R65" s="5"/>
      <c r="S65" s="5"/>
      <c r="T65" s="5"/>
      <c r="U65" s="5"/>
      <c r="V65" s="6"/>
      <c r="W65" s="6"/>
      <c r="X65" s="7"/>
      <c r="Y65" s="4">
        <f t="shared" si="9"/>
        <v>141543.53571428571</v>
      </c>
      <c r="Z65" s="5"/>
      <c r="AA65" s="5">
        <v>229000</v>
      </c>
      <c r="AB65" s="5"/>
      <c r="AC65" s="5"/>
      <c r="AD65" s="8">
        <f t="shared" si="10"/>
        <v>87456.46428571429</v>
      </c>
      <c r="AE65" s="8"/>
      <c r="AF65" s="4">
        <f t="shared" si="11"/>
        <v>87456.46428571429</v>
      </c>
      <c r="AG65" s="5"/>
      <c r="AH65" s="9"/>
      <c r="AI65" s="9"/>
      <c r="AJ65" s="10"/>
      <c r="AK65" s="6"/>
      <c r="AL65" s="7"/>
      <c r="AM65" s="11">
        <v>325000</v>
      </c>
      <c r="AN65" s="38"/>
      <c r="AO65" s="7"/>
      <c r="AP65" s="4">
        <f t="shared" si="12"/>
        <v>-237543.53571428571</v>
      </c>
      <c r="AQ65" s="12"/>
      <c r="AR65" s="13"/>
      <c r="AS65" s="13"/>
      <c r="AT65" s="14"/>
      <c r="AU65" s="14"/>
      <c r="AV65" s="14"/>
      <c r="AW65" s="18"/>
      <c r="AX65" s="14"/>
      <c r="AY65" s="16"/>
      <c r="AZ65" s="4">
        <f t="shared" si="13"/>
        <v>-237543.53571428571</v>
      </c>
      <c r="BA65" s="14"/>
      <c r="BB65" s="14"/>
      <c r="BC65" s="14"/>
      <c r="BD65" s="14"/>
      <c r="BE65" s="16"/>
      <c r="BF65" s="4">
        <f t="shared" si="14"/>
        <v>-237543.53571428571</v>
      </c>
      <c r="BG65" s="47"/>
      <c r="BH65" s="18">
        <v>142000</v>
      </c>
      <c r="BI65" s="17"/>
      <c r="BJ65" s="18"/>
      <c r="BK65" s="18"/>
      <c r="BL65" s="19"/>
      <c r="BM65" s="20">
        <f t="shared" si="15"/>
        <v>-95543.53571428571</v>
      </c>
    </row>
    <row r="66" spans="1:65" ht="15" thickBot="1" x14ac:dyDescent="0.35">
      <c r="A66">
        <v>550</v>
      </c>
      <c r="B66" t="s">
        <v>151</v>
      </c>
      <c r="C66" s="1" t="s">
        <v>111</v>
      </c>
      <c r="D66" s="2">
        <f>+GETPIVOTDATA("ADJBAL",[2]AGTRAXDATA!$F$1,"BRANCH_NUMBER",550,"COMMODITY_CODE","01")/60</f>
        <v>143081.75</v>
      </c>
      <c r="E66" s="2">
        <f>+GETPIVOTDATA("ADJBAL",[2]AGTRAXDATA!$F$1,"BRANCH_NUMBER",550,"COMMODITY_CODE","02")/56</f>
        <v>51948.357142857145</v>
      </c>
      <c r="F66" s="2">
        <f>+GETPIVOTDATA("ADJBAL",[2]AGTRAXDATA!$F$1,"BRANCH_NUMBER",550,"COMMODITY_CODE","04")/56</f>
        <v>26971.589285714286</v>
      </c>
      <c r="G66" s="2">
        <f>+GETPIVOTDATA("ADJBAL",[2]AGTRAXDATA!$F$1,"BRANCH_NUMBER",550,"COMMODITY_CODE","03")/60</f>
        <v>36143.033333333333</v>
      </c>
      <c r="H66" s="2">
        <f>+GETPIVOTDATA("ADJBAL",[2]AGTRAXDATA!$F$1,"BRANCH_NUMBER",550,"COMMODITY_CODE","22")/25</f>
        <v>0</v>
      </c>
      <c r="I66" s="3">
        <v>0</v>
      </c>
      <c r="J66" s="3"/>
      <c r="K66" s="4">
        <f t="shared" ref="K66:K78" si="16">SUM(D66:I66)</f>
        <v>258144.72976190477</v>
      </c>
      <c r="L66" s="5"/>
      <c r="M66" s="2">
        <f>+GETPIVOTDATA("LBS_UPDATED",[2]SALESCONTRACTS!$E$1,"BRANCH_NUMBER",550,"COMMODITY_CODE","01")/60</f>
        <v>0</v>
      </c>
      <c r="N66" s="2">
        <f>+GETPIVOTDATA("LBS_UPDATED",[2]SALESCONTRACTS!$E$1,"BRANCH_NUMBER",550,"COMMODITY_CODE","02")/56</f>
        <v>0</v>
      </c>
      <c r="O66" s="2">
        <f>+GETPIVOTDATA("LBS_UPDATED",[2]SALESCONTRACTS!$E$1,"BRANCH_NUMBER",550,"COMMODITY_CODE","04")/56</f>
        <v>0</v>
      </c>
      <c r="P66" s="2">
        <f>+GETPIVOTDATA("LBS_UPDATED",[2]SALESCONTRACTS!$E$1,"BRANCH_NUMBER",550,"COMMODITY_CODE","03")/60</f>
        <v>0</v>
      </c>
      <c r="Q66" s="2">
        <f>+GETPIVOTDATA("LBS_UPDATED",[2]SALESCONTRACTS!$E$1,"BRANCH_NUMBER",550,"COMMODITY_CODE","22")/25</f>
        <v>0</v>
      </c>
      <c r="R66" s="5"/>
      <c r="S66" s="5"/>
      <c r="T66" s="5"/>
      <c r="U66" s="5"/>
      <c r="V66" s="6"/>
      <c r="W66" s="6"/>
      <c r="X66" s="7"/>
      <c r="Y66" s="4">
        <f t="shared" ref="Y66:Y78" si="17">K66-M66-N66-O66-P66-Q66-R66-S66-T66-U66-V66-W66</f>
        <v>258144.72976190477</v>
      </c>
      <c r="Z66" s="5"/>
      <c r="AA66" s="5">
        <v>312000</v>
      </c>
      <c r="AB66" s="5"/>
      <c r="AC66" s="5"/>
      <c r="AD66" s="8">
        <f t="shared" ref="AD66:AD97" si="18">SUM(AA66:AC66)-K66</f>
        <v>53855.270238095225</v>
      </c>
      <c r="AE66" s="8"/>
      <c r="AF66" s="4">
        <f t="shared" ref="AF66:AF78" si="19">AA66+AB66-Y66</f>
        <v>53855.270238095225</v>
      </c>
      <c r="AG66" s="5"/>
      <c r="AH66" s="9"/>
      <c r="AI66" s="9"/>
      <c r="AJ66" s="10"/>
      <c r="AK66" s="6"/>
      <c r="AL66" s="7"/>
      <c r="AM66" s="11">
        <v>96000</v>
      </c>
      <c r="AN66" s="38"/>
      <c r="AO66" s="7"/>
      <c r="AP66" s="4">
        <f t="shared" ref="AP66:AP78" si="20">AF66-AH66-AI66-AJ66-AK66-AM66-AN66</f>
        <v>-42144.729761904775</v>
      </c>
      <c r="AQ66" s="12"/>
      <c r="AR66" s="13"/>
      <c r="AS66" s="13"/>
      <c r="AT66" s="14"/>
      <c r="AU66" s="14"/>
      <c r="AV66" s="14"/>
      <c r="AW66" s="47"/>
      <c r="AX66" s="14"/>
      <c r="AY66" s="16"/>
      <c r="AZ66" s="4">
        <f t="shared" ref="AZ66:AZ77" si="21">SUM(AP66:AX66)</f>
        <v>-42144.729761904775</v>
      </c>
      <c r="BA66" s="14"/>
      <c r="BB66" s="14"/>
      <c r="BC66" s="14"/>
      <c r="BD66" s="14"/>
      <c r="BE66" s="16"/>
      <c r="BF66" s="4">
        <f t="shared" ref="BF66:BF77" si="22">SUM(AZ66:BD66)</f>
        <v>-42144.729761904775</v>
      </c>
      <c r="BG66" s="18"/>
      <c r="BH66" s="18">
        <v>16000</v>
      </c>
      <c r="BI66" s="17">
        <v>26000</v>
      </c>
      <c r="BJ66" s="47"/>
      <c r="BK66" s="18"/>
      <c r="BL66" s="19"/>
      <c r="BM66" s="20">
        <f t="shared" ref="BM66:BM78" si="23">SUM(BF66:BK66)</f>
        <v>-144.72976190477493</v>
      </c>
    </row>
    <row r="67" spans="1:65" ht="15" thickBot="1" x14ac:dyDescent="0.35">
      <c r="A67">
        <v>551</v>
      </c>
      <c r="B67" t="s">
        <v>150</v>
      </c>
      <c r="C67" s="1" t="s">
        <v>112</v>
      </c>
      <c r="D67" s="2">
        <f>+GETPIVOTDATA("ADJBAL",[2]AGTRAXDATA!$F$1,"BRANCH_NUMBER",551,"COMMODITY_CODE","01")/60</f>
        <v>392974.15</v>
      </c>
      <c r="E67" s="2">
        <f>+GETPIVOTDATA("ADJBAL",[2]AGTRAXDATA!$F$1,"BRANCH_NUMBER",551,"COMMODITY_CODE","02")/56</f>
        <v>134621.91071428571</v>
      </c>
      <c r="F67" s="2">
        <f>+GETPIVOTDATA("ADJBAL",[2]AGTRAXDATA!$F$1,"BRANCH_NUMBER",551,"COMMODITY_CODE","04")/56</f>
        <v>327653.57142857142</v>
      </c>
      <c r="G67" s="2">
        <f>+GETPIVOTDATA("ADJBAL",[2]AGTRAXDATA!$F$1,"BRANCH_NUMBER",551,"COMMODITY_CODE","03")/60</f>
        <v>126422.41666666667</v>
      </c>
      <c r="H67" s="2">
        <f>+GETPIVOTDATA("ADJBAL",[2]AGTRAXDATA!$F$1,"BRANCH_NUMBER",551,"COMMODITY_CODE","22")/25</f>
        <v>0</v>
      </c>
      <c r="I67" s="3">
        <v>0</v>
      </c>
      <c r="J67" s="3"/>
      <c r="K67" s="4">
        <f t="shared" si="16"/>
        <v>981672.04880952381</v>
      </c>
      <c r="L67" s="5"/>
      <c r="M67" s="2">
        <f>+GETPIVOTDATA("LBS_UPDATED",[2]SALESCONTRACTS!$E$1,"BRANCH_NUMBER",551,"COMMODITY_CODE","01")/60</f>
        <v>0</v>
      </c>
      <c r="N67" s="2">
        <f>+GETPIVOTDATA("LBS_UPDATED",[2]SALESCONTRACTS!$E$1,"BRANCH_NUMBER",551,"COMMODITY_CODE","02")/56</f>
        <v>2114</v>
      </c>
      <c r="O67" s="2">
        <f>+GETPIVOTDATA("LBS_UPDATED",[2]SALESCONTRACTS!$E$1,"BRANCH_NUMBER",551,"COMMODITY_CODE","04")/56</f>
        <v>4531.75</v>
      </c>
      <c r="P67" s="2">
        <f>+GETPIVOTDATA("LBS_UPDATED",[2]SALESCONTRACTS!$E$1,"BRANCH_NUMBER",551,"COMMODITY_CODE","03")/60</f>
        <v>2975.5833333333335</v>
      </c>
      <c r="Q67" s="2">
        <f>+GETPIVOTDATA("LBS_UPDATED",[2]SALESCONTRACTS!$E$1,"BRANCH_NUMBER",551,"COMMODITY_CODE","22")/25</f>
        <v>0</v>
      </c>
      <c r="R67" s="5"/>
      <c r="S67" s="5"/>
      <c r="T67" s="5"/>
      <c r="U67" s="5"/>
      <c r="V67" s="6">
        <v>40000</v>
      </c>
      <c r="W67" s="6">
        <v>80000</v>
      </c>
      <c r="X67" s="7"/>
      <c r="Y67" s="4">
        <f t="shared" si="17"/>
        <v>852050.71547619044</v>
      </c>
      <c r="Z67" s="5"/>
      <c r="AA67" s="5">
        <v>1400000</v>
      </c>
      <c r="AB67" s="5"/>
      <c r="AC67" s="5"/>
      <c r="AD67" s="8">
        <f t="shared" si="18"/>
        <v>418327.95119047619</v>
      </c>
      <c r="AE67" s="8"/>
      <c r="AF67" s="4">
        <f t="shared" si="19"/>
        <v>547949.28452380956</v>
      </c>
      <c r="AG67" s="5"/>
      <c r="AH67" s="9"/>
      <c r="AI67" s="9"/>
      <c r="AJ67" s="10"/>
      <c r="AK67" s="6"/>
      <c r="AL67" s="7"/>
      <c r="AM67" s="11">
        <v>475000</v>
      </c>
      <c r="AN67" s="40"/>
      <c r="AO67" s="7"/>
      <c r="AP67" s="4">
        <f t="shared" si="20"/>
        <v>72949.284523809562</v>
      </c>
      <c r="AQ67" s="12"/>
      <c r="AR67" s="13"/>
      <c r="AS67" s="13"/>
      <c r="AT67" s="14"/>
      <c r="AU67" s="14"/>
      <c r="AV67" s="14"/>
      <c r="AW67" s="18"/>
      <c r="AX67" s="14"/>
      <c r="AY67" s="16"/>
      <c r="AZ67" s="4">
        <f t="shared" si="21"/>
        <v>72949.284523809562</v>
      </c>
      <c r="BA67" s="14"/>
      <c r="BB67" s="45"/>
      <c r="BC67" s="14"/>
      <c r="BD67" s="14"/>
      <c r="BE67" s="16"/>
      <c r="BF67" s="4">
        <f t="shared" si="22"/>
        <v>72949.284523809562</v>
      </c>
      <c r="BG67" s="18"/>
      <c r="BH67" s="55"/>
      <c r="BI67" s="17"/>
      <c r="BJ67" s="18"/>
      <c r="BK67" s="18"/>
      <c r="BL67" s="19"/>
      <c r="BM67" s="20">
        <f t="shared" si="23"/>
        <v>72949.284523809562</v>
      </c>
    </row>
    <row r="68" spans="1:65" ht="15" thickBot="1" x14ac:dyDescent="0.35">
      <c r="A68">
        <v>195</v>
      </c>
      <c r="B68" t="s">
        <v>149</v>
      </c>
      <c r="C68" s="1" t="s">
        <v>113</v>
      </c>
      <c r="D68" s="2">
        <f>+GETPIVOTDATA("ADJBAL",[2]AGTRAXDATA!$F$1,"BRANCH_NUMBER",195,"COMMODITY_CODE","01")/60</f>
        <v>134470.18333333332</v>
      </c>
      <c r="E68" s="2">
        <f>+GETPIVOTDATA("ADJBAL",[2]AGTRAXDATA!$F$1,"BRANCH_NUMBER",195,"COMMODITY_CODE","02")/56</f>
        <v>66837.803571428565</v>
      </c>
      <c r="F68" s="2">
        <f>+GETPIVOTDATA("ADJBAL",[2]AGTRAXDATA!$F$1,"BRANCH_NUMBER",195,"COMMODITY_CODE","04")/56</f>
        <v>18202.767857142859</v>
      </c>
      <c r="G68" s="2">
        <f>+GETPIVOTDATA("ADJBAL",[2]AGTRAXDATA!$F$1,"BRANCH_NUMBER",195,"COMMODITY_CODE","03")/60</f>
        <v>208929.8</v>
      </c>
      <c r="H68" s="2">
        <f>+GETPIVOTDATA("ADJBAL",[2]AGTRAXDATA!$F$1,"BRANCH_NUMBER",195,"COMMODITY_CODE","22")/25</f>
        <v>299.27999999999997</v>
      </c>
      <c r="I68" s="3">
        <v>0</v>
      </c>
      <c r="J68" s="3"/>
      <c r="K68" s="4">
        <f t="shared" si="16"/>
        <v>428739.83476190479</v>
      </c>
      <c r="L68" s="5"/>
      <c r="M68" s="2">
        <f>+GETPIVOTDATA("LBS_UPDATED",[2]SALESCONTRACTS!$E$1,"BRANCH_NUMBER",195,"COMMODITY_CODE","01")/60</f>
        <v>-72.13333333333334</v>
      </c>
      <c r="N68" s="2">
        <f>+GETPIVOTDATA("LBS_UPDATED",[2]SALESCONTRACTS!$E$1,"BRANCH_NUMBER",195,"COMMODITY_CODE","02")/56</f>
        <v>22021.696428571428</v>
      </c>
      <c r="O68" s="2">
        <f>+GETPIVOTDATA("LBS_UPDATED",[2]SALESCONTRACTS!$E$1,"BRANCH_NUMBER",195,"COMMODITY_CODE","04")/56</f>
        <v>0</v>
      </c>
      <c r="P68" s="2">
        <f>+GETPIVOTDATA("LBS_UPDATED",[2]SALESCONTRACTS!$E$1,"BRANCH_NUMBER",195,"COMMODITY_CODE","03")/60</f>
        <v>3139.5833333333335</v>
      </c>
      <c r="Q68" s="2">
        <f>+GETPIVOTDATA("LBS_UPDATED",[2]SALESCONTRACTS!$E$1,"BRANCH_NUMBER",195,"COMMODITY_CODE","22")/25</f>
        <v>0</v>
      </c>
      <c r="R68" s="5"/>
      <c r="S68" s="7"/>
      <c r="T68" s="7"/>
      <c r="U68" s="7"/>
      <c r="V68" s="6">
        <v>65000</v>
      </c>
      <c r="W68" s="6"/>
      <c r="X68" s="7"/>
      <c r="Y68" s="4">
        <f t="shared" si="17"/>
        <v>338650.68833333341</v>
      </c>
      <c r="Z68" s="5"/>
      <c r="AA68" s="5">
        <v>644000</v>
      </c>
      <c r="AB68" s="5"/>
      <c r="AC68" s="5"/>
      <c r="AD68" s="8">
        <f t="shared" si="18"/>
        <v>215260.16523809521</v>
      </c>
      <c r="AE68" s="8"/>
      <c r="AF68" s="4">
        <f t="shared" si="19"/>
        <v>305349.31166666659</v>
      </c>
      <c r="AG68" s="7"/>
      <c r="AH68" s="9"/>
      <c r="AI68" s="9"/>
      <c r="AJ68" s="10"/>
      <c r="AK68" s="6"/>
      <c r="AL68" s="7"/>
      <c r="AM68" s="11">
        <v>200000</v>
      </c>
      <c r="AN68" s="6"/>
      <c r="AO68" s="7"/>
      <c r="AP68" s="4">
        <f t="shared" si="20"/>
        <v>105349.31166666659</v>
      </c>
      <c r="AQ68" s="12"/>
      <c r="AR68" s="13"/>
      <c r="AS68" s="13"/>
      <c r="AT68" s="14"/>
      <c r="AU68" s="15"/>
      <c r="AV68" s="14"/>
      <c r="AW68" s="18"/>
      <c r="AX68" s="14"/>
      <c r="AY68" s="16"/>
      <c r="AZ68" s="4">
        <f t="shared" si="21"/>
        <v>105349.31166666659</v>
      </c>
      <c r="BA68" s="14"/>
      <c r="BB68" s="14"/>
      <c r="BC68" s="14"/>
      <c r="BD68" s="14"/>
      <c r="BE68" s="16"/>
      <c r="BF68" s="4">
        <f t="shared" si="22"/>
        <v>105349.31166666659</v>
      </c>
      <c r="BG68" s="18"/>
      <c r="BH68" s="18"/>
      <c r="BI68" s="17"/>
      <c r="BJ68" s="18"/>
      <c r="BK68" s="18"/>
      <c r="BL68" s="19"/>
      <c r="BM68" s="20">
        <f t="shared" si="23"/>
        <v>105349.31166666659</v>
      </c>
    </row>
    <row r="69" spans="1:65" ht="15" thickBot="1" x14ac:dyDescent="0.35">
      <c r="A69">
        <v>196</v>
      </c>
      <c r="B69" t="s">
        <v>148</v>
      </c>
      <c r="C69" s="1" t="s">
        <v>114</v>
      </c>
      <c r="D69" s="2">
        <f>+GETPIVOTDATA("ADJBAL",[2]AGTRAXDATA!$F$1,"BRANCH_NUMBER",196,"COMMODITY_CODE","01")/60</f>
        <v>53182.85</v>
      </c>
      <c r="E69" s="2">
        <f>+GETPIVOTDATA("ADJBAL",[2]AGTRAXDATA!$F$1,"BRANCH_NUMBER",196,"COMMODITY_CODE","02")/56</f>
        <v>1370.3928571428571</v>
      </c>
      <c r="F69" s="2">
        <f>+GETPIVOTDATA("ADJBAL",[2]AGTRAXDATA!$F$1,"BRANCH_NUMBER",196,"COMMODITY_CODE","04")/56</f>
        <v>0</v>
      </c>
      <c r="G69" s="2">
        <f>+GETPIVOTDATA("ADJBAL",[2]AGTRAXDATA!$F$1,"BRANCH_NUMBER",196,"COMMODITY_CODE","03")/60</f>
        <v>30289.95</v>
      </c>
      <c r="H69" s="2">
        <f>+GETPIVOTDATA("ADJBAL",[2]AGTRAXDATA!$F$1,"BRANCH_NUMBER",196,"COMMODITY_CODE","22")/25</f>
        <v>0</v>
      </c>
      <c r="I69" s="3">
        <v>0</v>
      </c>
      <c r="J69" s="3"/>
      <c r="K69" s="4">
        <f t="shared" si="16"/>
        <v>84843.192857142858</v>
      </c>
      <c r="L69" s="5"/>
      <c r="M69" s="2">
        <f>+GETPIVOTDATA("LBS_UPDATED",[2]SALESCONTRACTS!$E$1,"BRANCH_NUMBER",196,"COMMODITY_CODE","01")/60</f>
        <v>0</v>
      </c>
      <c r="N69" s="2">
        <f>+GETPIVOTDATA("LBS_UPDATED",[2]SALESCONTRACTS!$E$1,"BRANCH_NUMBER",196,"COMMODITY_CODE","02")/56</f>
        <v>0</v>
      </c>
      <c r="O69" s="2">
        <f>+GETPIVOTDATA("LBS_UPDATED",[2]SALESCONTRACTS!$E$1,"BRANCH_NUMBER",196,"COMMODITY_CODE","04")/56</f>
        <v>0</v>
      </c>
      <c r="P69" s="2">
        <f>+GETPIVOTDATA("LBS_UPDATED",[2]SALESCONTRACTS!$E$1,"BRANCH_NUMBER",196,"COMMODITY_CODE","03")/60</f>
        <v>0</v>
      </c>
      <c r="Q69" s="2">
        <f>+GETPIVOTDATA("LBS_UPDATED",[2]SALESCONTRACTS!$E$1,"BRANCH_NUMBER",196,"COMMODITY_CODE","22")/25</f>
        <v>0</v>
      </c>
      <c r="R69" s="5"/>
      <c r="S69" s="7"/>
      <c r="T69" s="7"/>
      <c r="U69" s="7"/>
      <c r="V69" s="6"/>
      <c r="W69" s="6"/>
      <c r="X69" s="7"/>
      <c r="Y69" s="4">
        <f t="shared" si="17"/>
        <v>84843.192857142858</v>
      </c>
      <c r="Z69" s="5"/>
      <c r="AA69" s="5">
        <v>182000</v>
      </c>
      <c r="AB69" s="5"/>
      <c r="AC69" s="5"/>
      <c r="AD69" s="8">
        <f t="shared" si="18"/>
        <v>97156.807142857142</v>
      </c>
      <c r="AE69" s="8"/>
      <c r="AF69" s="4">
        <f t="shared" si="19"/>
        <v>97156.807142857142</v>
      </c>
      <c r="AG69" s="7"/>
      <c r="AH69" s="9"/>
      <c r="AI69" s="9"/>
      <c r="AJ69" s="10"/>
      <c r="AK69" s="6"/>
      <c r="AL69" s="7"/>
      <c r="AM69" s="11">
        <v>85000</v>
      </c>
      <c r="AN69" s="6"/>
      <c r="AO69" s="7"/>
      <c r="AP69" s="4">
        <f t="shared" si="20"/>
        <v>12156.807142857142</v>
      </c>
      <c r="AQ69" s="12"/>
      <c r="AR69" s="13"/>
      <c r="AS69" s="13"/>
      <c r="AT69" s="14"/>
      <c r="AU69" s="14"/>
      <c r="AV69" s="14"/>
      <c r="AW69" s="18"/>
      <c r="AX69" s="14"/>
      <c r="AY69" s="16"/>
      <c r="AZ69" s="4">
        <f t="shared" si="21"/>
        <v>12156.807142857142</v>
      </c>
      <c r="BA69" s="14"/>
      <c r="BB69" s="14"/>
      <c r="BC69" s="14"/>
      <c r="BD69" s="14"/>
      <c r="BE69" s="16"/>
      <c r="BF69" s="4">
        <f t="shared" si="22"/>
        <v>12156.807142857142</v>
      </c>
      <c r="BG69" s="18"/>
      <c r="BH69" s="18"/>
      <c r="BI69" s="17"/>
      <c r="BJ69" s="18"/>
      <c r="BK69" s="18"/>
      <c r="BL69" s="19"/>
      <c r="BM69" s="20">
        <f t="shared" si="23"/>
        <v>12156.807142857142</v>
      </c>
    </row>
    <row r="70" spans="1:65" ht="15" thickBot="1" x14ac:dyDescent="0.35">
      <c r="A70">
        <v>198</v>
      </c>
      <c r="B70" t="s">
        <v>147</v>
      </c>
      <c r="C70" s="1" t="s">
        <v>115</v>
      </c>
      <c r="D70" s="2">
        <f>+GETPIVOTDATA("ADJBAL",[2]AGTRAXDATA!$F$1,"BRANCH_NUMBER",198,"COMMODITY_CODE","01")/60</f>
        <v>117493.31666666667</v>
      </c>
      <c r="E70" s="2">
        <f>+GETPIVOTDATA("ADJBAL",[2]AGTRAXDATA!$F$1,"BRANCH_NUMBER",198,"COMMODITY_CODE","02")/56</f>
        <v>0</v>
      </c>
      <c r="F70" s="2">
        <f>+GETPIVOTDATA("ADJBAL",[2]AGTRAXDATA!$F$1,"BRANCH_NUMBER",198,"COMMODITY_CODE","04")/56</f>
        <v>0</v>
      </c>
      <c r="G70" s="2">
        <f>+GETPIVOTDATA("ADJBAL",[2]AGTRAXDATA!$F$1,"BRANCH_NUMBER",198,"COMMODITY_CODE","03")/60</f>
        <v>0</v>
      </c>
      <c r="H70" s="2">
        <f>+GETPIVOTDATA("ADJBAL",[2]AGTRAXDATA!$F$1,"BRANCH_NUMBER",198,"COMMODITY_CODE","22")/25</f>
        <v>0</v>
      </c>
      <c r="I70" s="3">
        <v>0</v>
      </c>
      <c r="J70" s="3"/>
      <c r="K70" s="4">
        <f t="shared" si="16"/>
        <v>117493.31666666667</v>
      </c>
      <c r="L70" s="5"/>
      <c r="M70" s="2">
        <f>+GETPIVOTDATA("LBS_UPDATED",[2]SALESCONTRACTS!$E$1,"BRANCH_NUMBER",198,"COMMODITY_CODE","01")/60</f>
        <v>0</v>
      </c>
      <c r="N70" s="2">
        <f>+GETPIVOTDATA("LBS_UPDATED",[2]SALESCONTRACTS!$E$1,"BRANCH_NUMBER",198,"COMMODITY_CODE","02")/56</f>
        <v>0</v>
      </c>
      <c r="O70" s="2">
        <f>+GETPIVOTDATA("LBS_UPDATED",[2]SALESCONTRACTS!$E$1,"BRANCH_NUMBER",198,"COMMODITY_CODE","04")/56</f>
        <v>0</v>
      </c>
      <c r="P70" s="2">
        <f>+GETPIVOTDATA("LBS_UPDATED",[2]SALESCONTRACTS!$E$1,"BRANCH_NUMBER",198,"COMMODITY_CODE","03")/60</f>
        <v>0</v>
      </c>
      <c r="Q70" s="2">
        <f>+GETPIVOTDATA("LBS_UPDATED",[2]SALESCONTRACTS!$E$1,"BRANCH_NUMBER",198,"COMMODITY_CODE","22")/25</f>
        <v>0</v>
      </c>
      <c r="R70" s="5"/>
      <c r="S70" s="7"/>
      <c r="T70" s="7"/>
      <c r="U70" s="7"/>
      <c r="V70" s="31"/>
      <c r="W70" s="31"/>
      <c r="X70" s="7"/>
      <c r="Y70" s="4">
        <f t="shared" si="17"/>
        <v>117493.31666666667</v>
      </c>
      <c r="Z70" s="5"/>
      <c r="AA70" s="5"/>
      <c r="AB70" s="5"/>
      <c r="AC70" s="5"/>
      <c r="AD70" s="8">
        <f t="shared" si="18"/>
        <v>-117493.31666666667</v>
      </c>
      <c r="AE70" s="8"/>
      <c r="AF70" s="4">
        <f t="shared" si="19"/>
        <v>-117493.31666666667</v>
      </c>
      <c r="AG70" s="7"/>
      <c r="AH70" s="9"/>
      <c r="AI70" s="9"/>
      <c r="AJ70" s="10"/>
      <c r="AK70" s="30"/>
      <c r="AL70" s="7"/>
      <c r="AM70" s="31"/>
      <c r="AN70" s="31"/>
      <c r="AO70" s="7"/>
      <c r="AP70" s="4">
        <f t="shared" si="20"/>
        <v>-117493.31666666667</v>
      </c>
      <c r="AQ70" s="12"/>
      <c r="AR70" s="13"/>
      <c r="AS70" s="13"/>
      <c r="AT70" s="14"/>
      <c r="AU70" s="14"/>
      <c r="AV70" s="14"/>
      <c r="AW70" s="18"/>
      <c r="AX70" s="14"/>
      <c r="AY70" s="16"/>
      <c r="AZ70" s="4">
        <f t="shared" si="21"/>
        <v>-117493.31666666667</v>
      </c>
      <c r="BA70" s="14">
        <v>117000</v>
      </c>
      <c r="BB70" s="14"/>
      <c r="BC70" s="14"/>
      <c r="BD70" s="14"/>
      <c r="BE70" s="16"/>
      <c r="BF70" s="4">
        <f t="shared" si="22"/>
        <v>-493.3166666666657</v>
      </c>
      <c r="BG70" s="18"/>
      <c r="BH70" s="47"/>
      <c r="BI70" s="17"/>
      <c r="BJ70" s="18"/>
      <c r="BK70" s="18"/>
      <c r="BL70" s="19"/>
      <c r="BM70" s="20">
        <f t="shared" si="23"/>
        <v>-493.3166666666657</v>
      </c>
    </row>
    <row r="71" spans="1:65" ht="15" thickBot="1" x14ac:dyDescent="0.35">
      <c r="A71">
        <v>193</v>
      </c>
      <c r="B71" t="s">
        <v>146</v>
      </c>
      <c r="C71" s="1" t="s">
        <v>116</v>
      </c>
      <c r="D71" s="2">
        <f>+GETPIVOTDATA("ADJBAL",[2]AGTRAXDATA!$F$1,"BRANCH_NUMBER",193,"COMMODITY_CODE","01")/60</f>
        <v>0</v>
      </c>
      <c r="E71" s="2">
        <f>+GETPIVOTDATA("ADJBAL",[2]AGTRAXDATA!$F$1,"BRANCH_NUMBER",193,"COMMODITY_CODE","02")/56</f>
        <v>30867.375</v>
      </c>
      <c r="F71" s="2">
        <f>+GETPIVOTDATA("ADJBAL",[2]AGTRAXDATA!$F$1,"BRANCH_NUMBER",193,"COMMODITY_CODE","04")/56</f>
        <v>14665.339285714286</v>
      </c>
      <c r="G71" s="2">
        <f>+GETPIVOTDATA("ADJBAL",[2]AGTRAXDATA!$F$1,"BRANCH_NUMBER",193,"COMMODITY_CODE","03")/60</f>
        <v>84763.083333333328</v>
      </c>
      <c r="H71" s="2">
        <f>+GETPIVOTDATA("ADJBAL",[2]AGTRAXDATA!$F$1,"BRANCH_NUMBER",193,"COMMODITY_CODE","22")/25</f>
        <v>0</v>
      </c>
      <c r="I71" s="3">
        <v>0</v>
      </c>
      <c r="J71" s="3"/>
      <c r="K71" s="4">
        <f t="shared" si="16"/>
        <v>130295.79761904762</v>
      </c>
      <c r="L71" s="5"/>
      <c r="M71" s="2">
        <f>+GETPIVOTDATA("LBS_UPDATED",[2]SALESCONTRACTS!$E$1,"BRANCH_NUMBER",193,"COMMODITY_CODE","01")/60</f>
        <v>0</v>
      </c>
      <c r="N71" s="2">
        <f>+GETPIVOTDATA("LBS_UPDATED",[2]SALESCONTRACTS!$E$1,"BRANCH_NUMBER",193,"COMMODITY_CODE","02")/56</f>
        <v>0</v>
      </c>
      <c r="O71" s="2">
        <f>+GETPIVOTDATA("LBS_UPDATED",[2]SALESCONTRACTS!$E$1,"BRANCH_NUMBER",193,"COMMODITY_CODE","04")/56</f>
        <v>60</v>
      </c>
      <c r="P71" s="2">
        <f>+GETPIVOTDATA("LBS_UPDATED",[2]SALESCONTRACTS!$E$1,"BRANCH_NUMBER",193,"COMMODITY_CODE","03")/60</f>
        <v>863.66666666666663</v>
      </c>
      <c r="Q71" s="2">
        <f>+GETPIVOTDATA("LBS_UPDATED",[2]SALESCONTRACTS!$E$1,"BRANCH_NUMBER",193,"COMMODITY_CODE","22")/25</f>
        <v>0</v>
      </c>
      <c r="R71" s="5"/>
      <c r="S71" s="7"/>
      <c r="T71" s="7"/>
      <c r="U71" s="7"/>
      <c r="V71" s="30"/>
      <c r="W71" s="30"/>
      <c r="X71" s="7"/>
      <c r="Y71" s="4">
        <f t="shared" si="17"/>
        <v>129372.13095238095</v>
      </c>
      <c r="Z71" s="5"/>
      <c r="AA71" s="5">
        <v>234000</v>
      </c>
      <c r="AB71" s="5"/>
      <c r="AC71" s="5"/>
      <c r="AD71" s="8">
        <f t="shared" si="18"/>
        <v>103704.20238095238</v>
      </c>
      <c r="AE71" s="8"/>
      <c r="AF71" s="4">
        <f t="shared" si="19"/>
        <v>104627.86904761905</v>
      </c>
      <c r="AG71" s="7"/>
      <c r="AH71" s="9"/>
      <c r="AI71" s="9"/>
      <c r="AJ71" s="10"/>
      <c r="AK71" s="6"/>
      <c r="AL71" s="7"/>
      <c r="AM71" s="11">
        <v>240000</v>
      </c>
      <c r="AN71" s="6"/>
      <c r="AO71" s="7"/>
      <c r="AP71" s="4">
        <f t="shared" si="20"/>
        <v>-135372.13095238095</v>
      </c>
      <c r="AQ71" s="12"/>
      <c r="AR71" s="13"/>
      <c r="AS71" s="13"/>
      <c r="AT71" s="14"/>
      <c r="AU71" s="14"/>
      <c r="AV71" s="14"/>
      <c r="AW71" s="14">
        <v>84000</v>
      </c>
      <c r="AX71" s="14"/>
      <c r="AY71" s="16"/>
      <c r="AZ71" s="4">
        <f t="shared" si="21"/>
        <v>-51372.130952380947</v>
      </c>
      <c r="BA71" s="14"/>
      <c r="BB71" s="14"/>
      <c r="BC71" s="14">
        <v>15000</v>
      </c>
      <c r="BD71" s="14"/>
      <c r="BE71" s="16"/>
      <c r="BF71" s="4">
        <f t="shared" si="22"/>
        <v>-36372.130952380947</v>
      </c>
      <c r="BG71" s="18"/>
      <c r="BH71" s="14">
        <v>31000</v>
      </c>
      <c r="BI71" s="14"/>
      <c r="BJ71" s="14"/>
      <c r="BK71" s="18"/>
      <c r="BL71" s="19"/>
      <c r="BM71" s="20">
        <f t="shared" si="23"/>
        <v>-5372.1309523809468</v>
      </c>
    </row>
    <row r="72" spans="1:65" ht="15" thickBot="1" x14ac:dyDescent="0.35">
      <c r="A72">
        <v>194</v>
      </c>
      <c r="B72" t="s">
        <v>145</v>
      </c>
      <c r="C72" s="1" t="s">
        <v>117</v>
      </c>
      <c r="D72" s="2">
        <f>+GETPIVOTDATA("ADJBAL",[2]AGTRAXDATA!$F$1,"BRANCH_NUMBER",194,"COMMODITY_CODE","01")/60</f>
        <v>372015.93333333335</v>
      </c>
      <c r="E72" s="2">
        <f>+GETPIVOTDATA("ADJBAL",[2]AGTRAXDATA!$F$1,"BRANCH_NUMBER",194,"COMMODITY_CODE","02")/56</f>
        <v>0</v>
      </c>
      <c r="F72" s="27">
        <f>+GETPIVOTDATA("ADJBAL",[2]AGTRAXDATA!$F$1,"BRANCH_NUMBER",194,"COMMODITY_CODE","04")/56</f>
        <v>0</v>
      </c>
      <c r="G72" s="2">
        <f>+GETPIVOTDATA("ADJBAL",[2]AGTRAXDATA!$F$1,"BRANCH_NUMBER",194,"COMMODITY_CODE","03")/60</f>
        <v>0</v>
      </c>
      <c r="H72" s="2">
        <f>+GETPIVOTDATA("ADJBAL",[2]AGTRAXDATA!$F$1,"BRANCH_NUMBER",194,"COMMODITY_CODE","22")/25</f>
        <v>0</v>
      </c>
      <c r="I72" s="3">
        <v>0</v>
      </c>
      <c r="J72" s="3"/>
      <c r="K72" s="4">
        <f t="shared" si="16"/>
        <v>372015.93333333335</v>
      </c>
      <c r="L72" s="5"/>
      <c r="M72" s="2">
        <f>+GETPIVOTDATA("LBS_UPDATED",[2]SALESCONTRACTS!$E$1,"BRANCH_NUMBER",194,"COMMODITY_CODE","01")/60</f>
        <v>0</v>
      </c>
      <c r="N72" s="2">
        <f>+GETPIVOTDATA("LBS_UPDATED",[2]SALESCONTRACTS!$E$1,"BRANCH_NUMBER",194,"COMMODITY_CODE","02")/56</f>
        <v>0</v>
      </c>
      <c r="O72" s="2">
        <f>+GETPIVOTDATA("LBS_UPDATED",[2]SALESCONTRACTS!$E$1,"BRANCH_NUMBER",194,"COMMODITY_CODE","04")/56</f>
        <v>0</v>
      </c>
      <c r="P72" s="2">
        <f>+GETPIVOTDATA("LBS_UPDATED",[2]SALESCONTRACTS!$E$1,"BRANCH_NUMBER",194,"COMMODITY_CODE","03")/60</f>
        <v>0</v>
      </c>
      <c r="Q72" s="2">
        <f>+GETPIVOTDATA("LBS_UPDATED",[2]SALESCONTRACTS!$E$1,"BRANCH_NUMBER",194,"COMMODITY_CODE","22")/25</f>
        <v>0</v>
      </c>
      <c r="R72" s="5"/>
      <c r="S72" s="7"/>
      <c r="T72" s="7"/>
      <c r="U72" s="7"/>
      <c r="V72" s="6"/>
      <c r="W72" s="6"/>
      <c r="X72" s="7"/>
      <c r="Y72" s="4">
        <f t="shared" si="17"/>
        <v>372015.93333333335</v>
      </c>
      <c r="Z72" s="5"/>
      <c r="AA72" s="5">
        <v>168000</v>
      </c>
      <c r="AB72" s="5">
        <v>341000</v>
      </c>
      <c r="AC72" s="5"/>
      <c r="AD72" s="8">
        <f t="shared" si="18"/>
        <v>136984.06666666665</v>
      </c>
      <c r="AE72" s="8"/>
      <c r="AF72" s="4">
        <f t="shared" si="19"/>
        <v>136984.06666666665</v>
      </c>
      <c r="AG72" s="7"/>
      <c r="AH72" s="32"/>
      <c r="AI72" s="32"/>
      <c r="AJ72" s="10"/>
      <c r="AK72" s="6"/>
      <c r="AL72" s="7"/>
      <c r="AM72" s="6"/>
      <c r="AN72" s="6"/>
      <c r="AO72" s="7"/>
      <c r="AP72" s="4">
        <f t="shared" si="20"/>
        <v>136984.06666666665</v>
      </c>
      <c r="AQ72" s="12"/>
      <c r="AR72" s="13"/>
      <c r="AS72" s="13"/>
      <c r="AT72" s="14"/>
      <c r="AU72" s="14"/>
      <c r="AV72" s="14"/>
      <c r="AW72" s="14"/>
      <c r="AX72" s="14"/>
      <c r="AY72" s="16"/>
      <c r="AZ72" s="4">
        <f t="shared" si="21"/>
        <v>136984.06666666665</v>
      </c>
      <c r="BA72" s="14"/>
      <c r="BB72" s="14"/>
      <c r="BC72" s="14"/>
      <c r="BD72" s="14"/>
      <c r="BE72" s="16"/>
      <c r="BF72" s="4">
        <f t="shared" si="22"/>
        <v>136984.06666666665</v>
      </c>
      <c r="BG72" s="18"/>
      <c r="BH72" s="18"/>
      <c r="BI72" s="17"/>
      <c r="BJ72" s="18"/>
      <c r="BK72" s="18"/>
      <c r="BL72" s="19"/>
      <c r="BM72" s="20">
        <f t="shared" si="23"/>
        <v>136984.06666666665</v>
      </c>
    </row>
    <row r="73" spans="1:65" ht="15" thickBot="1" x14ac:dyDescent="0.35">
      <c r="A73">
        <v>192</v>
      </c>
      <c r="B73" t="s">
        <v>144</v>
      </c>
      <c r="C73" s="1" t="s">
        <v>118</v>
      </c>
      <c r="D73" s="2">
        <f>+GETPIVOTDATA("ADJBAL",[2]AGTRAXDATA!$F$1,"BRANCH_NUMBER",192,"COMMODITY_CODE","01")/60</f>
        <v>249917.21666666667</v>
      </c>
      <c r="E73" s="2">
        <f>+GETPIVOTDATA("ADJBAL",[2]AGTRAXDATA!$F$1,"BRANCH_NUMBER",192,"COMMODITY_CODE","02")/56</f>
        <v>24894.053571428572</v>
      </c>
      <c r="F73" s="2">
        <f>+GETPIVOTDATA("ADJBAL",[2]AGTRAXDATA!$F$1,"BRANCH_NUMBER",192,"COMMODITY_CODE","04")/56</f>
        <v>30521.571428571428</v>
      </c>
      <c r="G73" s="2">
        <f>+GETPIVOTDATA("ADJBAL",[2]AGTRAXDATA!$F$1,"BRANCH_NUMBER",192,"COMMODITY_CODE","03")/60</f>
        <v>359795.63333333336</v>
      </c>
      <c r="H73" s="2">
        <f>+GETPIVOTDATA("ADJBAL",[2]AGTRAXDATA!$F$1,"BRANCH_NUMBER",192,"COMMODITY_CODE","22")/25</f>
        <v>0</v>
      </c>
      <c r="I73" s="3">
        <v>0</v>
      </c>
      <c r="J73" s="3"/>
      <c r="K73" s="4">
        <f t="shared" si="16"/>
        <v>665128.47500000009</v>
      </c>
      <c r="L73" s="5"/>
      <c r="M73" s="2">
        <f>+GETPIVOTDATA("LBS_UPDATED",[2]SALESCONTRACTS!$E$1,"BRANCH_NUMBER",192,"COMMODITY_CODE","01")/60</f>
        <v>0</v>
      </c>
      <c r="N73" s="2">
        <f>+GETPIVOTDATA("LBS_UPDATED",[2]SALESCONTRACTS!$E$1,"BRANCH_NUMBER",192,"COMMODITY_CODE","02")/56</f>
        <v>0</v>
      </c>
      <c r="O73" s="2">
        <f>+GETPIVOTDATA("LBS_UPDATED",[2]SALESCONTRACTS!$E$1,"BRANCH_NUMBER",192,"COMMODITY_CODE","04")/56</f>
        <v>0</v>
      </c>
      <c r="P73" s="2">
        <f>+GETPIVOTDATA("LBS_UPDATED",[2]SALESCONTRACTS!$E$1,"BRANCH_NUMBER",192,"COMMODITY_CODE","03")/60</f>
        <v>0</v>
      </c>
      <c r="Q73" s="2">
        <f>+GETPIVOTDATA("LBS_UPDATED",[2]SALESCONTRACTS!$E$1,"BRANCH_NUMBER",192,"COMMODITY_CODE","22")/25</f>
        <v>0</v>
      </c>
      <c r="R73" s="5"/>
      <c r="S73" s="7"/>
      <c r="T73" s="7"/>
      <c r="U73" s="7"/>
      <c r="V73" s="6"/>
      <c r="W73" s="6"/>
      <c r="X73" s="7"/>
      <c r="Y73" s="4">
        <f t="shared" si="17"/>
        <v>665128.47500000009</v>
      </c>
      <c r="Z73" s="5"/>
      <c r="AA73" s="5">
        <v>1060000</v>
      </c>
      <c r="AB73" s="5"/>
      <c r="AC73" s="5"/>
      <c r="AD73" s="8">
        <f t="shared" si="18"/>
        <v>394871.52499999991</v>
      </c>
      <c r="AE73" s="8"/>
      <c r="AF73" s="4">
        <f t="shared" si="19"/>
        <v>394871.52499999991</v>
      </c>
      <c r="AG73" s="7"/>
      <c r="AH73" s="9"/>
      <c r="AI73" s="9"/>
      <c r="AJ73" s="10"/>
      <c r="AK73" s="6"/>
      <c r="AL73" s="7"/>
      <c r="AM73" s="11">
        <v>425000</v>
      </c>
      <c r="AN73" s="6"/>
      <c r="AO73" s="7"/>
      <c r="AP73" s="4">
        <f t="shared" si="20"/>
        <v>-30128.475000000093</v>
      </c>
      <c r="AQ73" s="12"/>
      <c r="AR73" s="13"/>
      <c r="AS73" s="13"/>
      <c r="AT73" s="14"/>
      <c r="AU73" s="14"/>
      <c r="AV73" s="14"/>
      <c r="AW73" s="14"/>
      <c r="AX73" s="14"/>
      <c r="AY73" s="16"/>
      <c r="AZ73" s="4">
        <f t="shared" si="21"/>
        <v>-30128.475000000093</v>
      </c>
      <c r="BA73" s="14"/>
      <c r="BB73" s="14"/>
      <c r="BC73" s="14">
        <v>31000</v>
      </c>
      <c r="BD73" s="14"/>
      <c r="BE73" s="16"/>
      <c r="BF73" s="4">
        <f t="shared" si="22"/>
        <v>871.52499999990687</v>
      </c>
      <c r="BG73" s="18"/>
      <c r="BH73" s="18"/>
      <c r="BI73" s="17"/>
      <c r="BJ73" s="18"/>
      <c r="BK73" s="18"/>
      <c r="BL73" s="19"/>
      <c r="BM73" s="20">
        <f t="shared" si="23"/>
        <v>871.52499999990687</v>
      </c>
    </row>
    <row r="74" spans="1:65" ht="15" thickBot="1" x14ac:dyDescent="0.35">
      <c r="A74">
        <v>200</v>
      </c>
      <c r="B74" t="s">
        <v>144</v>
      </c>
      <c r="C74" s="1" t="s">
        <v>119</v>
      </c>
      <c r="D74" s="2">
        <f>+GETPIVOTDATA("ADJBAL",[2]AGTRAXDATA!$F$1,"BRANCH_NUMBER",200,"COMMODITY_CODE","01")/60</f>
        <v>674108.96666666667</v>
      </c>
      <c r="E74" s="2"/>
      <c r="F74" s="2"/>
      <c r="G74" s="2"/>
      <c r="H74" s="2"/>
      <c r="I74" s="3"/>
      <c r="J74" s="3"/>
      <c r="K74" s="4">
        <f t="shared" si="16"/>
        <v>674108.96666666667</v>
      </c>
      <c r="L74" s="5"/>
      <c r="M74" s="2"/>
      <c r="N74" s="2"/>
      <c r="O74" s="2"/>
      <c r="P74" s="2"/>
      <c r="Q74" s="2"/>
      <c r="R74" s="5"/>
      <c r="S74" s="7"/>
      <c r="T74" s="7"/>
      <c r="U74" s="7"/>
      <c r="V74" s="6"/>
      <c r="W74" s="6"/>
      <c r="X74" s="7"/>
      <c r="Y74" s="4">
        <f t="shared" si="17"/>
        <v>674108.96666666667</v>
      </c>
      <c r="Z74" s="5"/>
      <c r="AA74" s="5">
        <v>675000</v>
      </c>
      <c r="AB74" s="5"/>
      <c r="AC74" s="5"/>
      <c r="AD74" s="8">
        <f t="shared" si="18"/>
        <v>891.03333333332557</v>
      </c>
      <c r="AE74" s="8"/>
      <c r="AF74" s="4">
        <f t="shared" si="19"/>
        <v>891.03333333332557</v>
      </c>
      <c r="AG74" s="7"/>
      <c r="AH74" s="9"/>
      <c r="AI74" s="9"/>
      <c r="AJ74" s="10"/>
      <c r="AK74" s="6"/>
      <c r="AL74" s="7"/>
      <c r="AM74" s="6"/>
      <c r="AN74" s="6"/>
      <c r="AO74" s="7"/>
      <c r="AP74" s="4">
        <f t="shared" si="20"/>
        <v>891.03333333332557</v>
      </c>
      <c r="AQ74" s="12"/>
      <c r="AR74" s="13"/>
      <c r="AS74" s="13"/>
      <c r="AT74" s="14"/>
      <c r="AU74" s="14"/>
      <c r="AV74" s="14"/>
      <c r="AW74" s="14"/>
      <c r="AX74" s="14"/>
      <c r="AY74" s="16"/>
      <c r="AZ74" s="4">
        <f t="shared" si="21"/>
        <v>891.03333333332557</v>
      </c>
      <c r="BA74" s="14"/>
      <c r="BB74" s="14"/>
      <c r="BC74" s="14"/>
      <c r="BD74" s="14"/>
      <c r="BE74" s="16"/>
      <c r="BF74" s="4">
        <f t="shared" si="22"/>
        <v>891.03333333332557</v>
      </c>
      <c r="BG74" s="18"/>
      <c r="BH74" s="18"/>
      <c r="BI74" s="17"/>
      <c r="BJ74" s="18"/>
      <c r="BK74" s="18"/>
      <c r="BL74" s="19"/>
      <c r="BM74" s="20">
        <f t="shared" si="23"/>
        <v>891.03333333332557</v>
      </c>
    </row>
    <row r="75" spans="1:65" ht="15" thickBot="1" x14ac:dyDescent="0.35">
      <c r="A75">
        <v>565</v>
      </c>
      <c r="B75" t="s">
        <v>143</v>
      </c>
      <c r="C75" s="1" t="s">
        <v>120</v>
      </c>
      <c r="D75" s="2">
        <f>+GETPIVOTDATA("ADJBAL",[2]AGTRAXDATA!$F$1,"BRANCH_NUMBER",565,"COMMODITY_CODE","01")/60</f>
        <v>471879.66666666669</v>
      </c>
      <c r="E75" s="2">
        <f>+GETPIVOTDATA("ADJBAL",[2]AGTRAXDATA!$F$1,"BRANCH_NUMBER",565,"COMMODITY_CODE","02")/56</f>
        <v>0</v>
      </c>
      <c r="F75" s="2">
        <f>+GETPIVOTDATA("ADJBAL",[2]AGTRAXDATA!$F$1,"BRANCH_NUMBER",565,"COMMODITY_CODE","04")/56</f>
        <v>0</v>
      </c>
      <c r="G75" s="2">
        <f>+GETPIVOTDATA("ADJBAL",[2]AGTRAXDATA!$F$1,"BRANCH_NUMBER",565,"COMMODITY_CODE","03")/60</f>
        <v>0</v>
      </c>
      <c r="H75" s="2">
        <f>+GETPIVOTDATA("ADJBAL",[2]AGTRAXDATA!$F$1,"BRANCH_NUMBER",565,"COMMODITY_CODE","22")/25</f>
        <v>0</v>
      </c>
      <c r="I75" s="3">
        <v>0</v>
      </c>
      <c r="J75" s="3"/>
      <c r="K75" s="4">
        <f t="shared" si="16"/>
        <v>471879.66666666669</v>
      </c>
      <c r="L75" s="5"/>
      <c r="M75" s="2">
        <f>+GETPIVOTDATA("LBS_UPDATED",[2]SALESCONTRACTS!$E$1,"BRANCH_NUMBER",565,"COMMODITY_CODE","01")/60</f>
        <v>0</v>
      </c>
      <c r="N75" s="2"/>
      <c r="O75" s="2"/>
      <c r="P75" s="2"/>
      <c r="Q75" s="2"/>
      <c r="R75" s="5"/>
      <c r="S75" s="7"/>
      <c r="T75" s="7"/>
      <c r="U75" s="7"/>
      <c r="V75" s="6"/>
      <c r="W75" s="6"/>
      <c r="X75" s="7"/>
      <c r="Y75" s="4">
        <f t="shared" si="17"/>
        <v>471879.66666666669</v>
      </c>
      <c r="Z75" s="5"/>
      <c r="AA75" s="5">
        <v>525000</v>
      </c>
      <c r="AB75" s="5"/>
      <c r="AC75" s="5"/>
      <c r="AD75" s="8">
        <f t="shared" si="18"/>
        <v>53120.333333333314</v>
      </c>
      <c r="AE75" s="8"/>
      <c r="AF75" s="4">
        <f t="shared" si="19"/>
        <v>53120.333333333314</v>
      </c>
      <c r="AG75" s="7"/>
      <c r="AH75" s="9"/>
      <c r="AI75" s="9"/>
      <c r="AJ75" s="10"/>
      <c r="AK75" s="31"/>
      <c r="AL75" s="7"/>
      <c r="AM75" s="6"/>
      <c r="AN75" s="6"/>
      <c r="AO75" s="7"/>
      <c r="AP75" s="4">
        <f t="shared" si="20"/>
        <v>53120.333333333314</v>
      </c>
      <c r="AQ75" s="12"/>
      <c r="AR75" s="13"/>
      <c r="AS75" s="13"/>
      <c r="AT75" s="14"/>
      <c r="AU75" s="13"/>
      <c r="AV75" s="14"/>
      <c r="AW75" s="14"/>
      <c r="AX75" s="14"/>
      <c r="AY75" s="16"/>
      <c r="AZ75" s="4">
        <f t="shared" si="21"/>
        <v>53120.333333333314</v>
      </c>
      <c r="BA75" s="48"/>
      <c r="BB75" s="48"/>
      <c r="BC75" s="48"/>
      <c r="BD75" s="48"/>
      <c r="BE75" s="16"/>
      <c r="BF75" s="4">
        <f t="shared" si="22"/>
        <v>53120.333333333314</v>
      </c>
      <c r="BG75" s="52"/>
      <c r="BH75" s="52"/>
      <c r="BI75" s="25"/>
      <c r="BJ75" s="52"/>
      <c r="BK75" s="18"/>
      <c r="BL75" s="19"/>
      <c r="BM75" s="20">
        <f t="shared" si="23"/>
        <v>53120.333333333314</v>
      </c>
    </row>
    <row r="76" spans="1:65" ht="15" thickBot="1" x14ac:dyDescent="0.35">
      <c r="A76">
        <v>566</v>
      </c>
      <c r="B76" t="s">
        <v>142</v>
      </c>
      <c r="C76" s="1" t="s">
        <v>121</v>
      </c>
      <c r="D76" s="2">
        <f>+GETPIVOTDATA("ADJBAL",[2]AGTRAXDATA!$F$1,"BRANCH_NUMBER",566,"COMMODITY_CODE","01")/60</f>
        <v>4547782.666666667</v>
      </c>
      <c r="E76" s="2"/>
      <c r="F76" s="2"/>
      <c r="G76" s="2"/>
      <c r="H76" s="2"/>
      <c r="I76" s="3"/>
      <c r="J76" s="3"/>
      <c r="K76" s="4">
        <f t="shared" si="16"/>
        <v>4547782.666666667</v>
      </c>
      <c r="L76" s="5"/>
      <c r="M76" s="2"/>
      <c r="N76" s="2"/>
      <c r="O76" s="2"/>
      <c r="P76" s="2"/>
      <c r="Q76" s="2"/>
      <c r="R76" s="5"/>
      <c r="S76" s="7"/>
      <c r="T76" s="7"/>
      <c r="U76" s="7"/>
      <c r="V76" s="6"/>
      <c r="W76" s="6"/>
      <c r="X76" s="7"/>
      <c r="Y76" s="4">
        <f t="shared" si="17"/>
        <v>4547782.666666667</v>
      </c>
      <c r="Z76" s="5"/>
      <c r="AA76" s="5">
        <v>4547783</v>
      </c>
      <c r="AB76" s="5"/>
      <c r="AC76" s="5"/>
      <c r="AD76" s="8">
        <f t="shared" si="18"/>
        <v>0.33333333302289248</v>
      </c>
      <c r="AE76" s="8"/>
      <c r="AF76" s="4">
        <f t="shared" si="19"/>
        <v>0.33333333302289248</v>
      </c>
      <c r="AG76" s="7"/>
      <c r="AH76" s="9"/>
      <c r="AI76" s="9"/>
      <c r="AJ76" s="10"/>
      <c r="AK76" s="6"/>
      <c r="AL76" s="7"/>
      <c r="AM76" s="6"/>
      <c r="AN76" s="6"/>
      <c r="AO76" s="7"/>
      <c r="AP76" s="4">
        <f t="shared" si="20"/>
        <v>0.33333333302289248</v>
      </c>
      <c r="AQ76" s="12"/>
      <c r="AR76" s="13"/>
      <c r="AS76" s="13"/>
      <c r="AT76" s="14"/>
      <c r="AU76" s="14"/>
      <c r="AV76" s="14">
        <v>50000</v>
      </c>
      <c r="AW76" s="14">
        <v>38000</v>
      </c>
      <c r="AX76" s="14"/>
      <c r="AY76" s="16"/>
      <c r="AZ76" s="4">
        <f t="shared" si="21"/>
        <v>88000.333333333023</v>
      </c>
      <c r="BA76" s="48">
        <v>100000</v>
      </c>
      <c r="BB76" s="48"/>
      <c r="BC76" s="48">
        <v>18000</v>
      </c>
      <c r="BD76" s="48"/>
      <c r="BE76" s="16"/>
      <c r="BF76" s="4">
        <f t="shared" si="22"/>
        <v>206000.33333333302</v>
      </c>
      <c r="BG76" s="52"/>
      <c r="BH76" s="52"/>
      <c r="BI76" s="25"/>
      <c r="BJ76" s="52"/>
      <c r="BK76" s="18"/>
      <c r="BL76" s="19"/>
      <c r="BM76" s="20">
        <f t="shared" si="23"/>
        <v>206000.33333333302</v>
      </c>
    </row>
    <row r="77" spans="1:65" ht="15" thickBot="1" x14ac:dyDescent="0.35">
      <c r="C77" s="1" t="s">
        <v>122</v>
      </c>
      <c r="D77" s="2"/>
      <c r="E77" s="2"/>
      <c r="F77" s="2"/>
      <c r="G77" s="2"/>
      <c r="H77" s="2"/>
      <c r="I77" s="3"/>
      <c r="J77" s="3"/>
      <c r="K77" s="4">
        <f t="shared" si="16"/>
        <v>0</v>
      </c>
      <c r="L77" s="5"/>
      <c r="M77" s="2">
        <f>+GETPIVOTDATA("LBS_UPDATED",[2]SALESCONTRACTS!$E$1,"BRANCH_NUMBER",1,"COMMODITY_CODE","01")/60</f>
        <v>1351199.9166666667</v>
      </c>
      <c r="N77" s="2">
        <f>+GETPIVOTDATA("LBS_UPDATED",[2]SALESCONTRACTS!$E$1,"BRANCH_NUMBER",1,"COMMODITY_CODE","02")/56</f>
        <v>1403202.392857143</v>
      </c>
      <c r="O77" s="2">
        <f>+GETPIVOTDATA("LBS_UPDATED",[2]SALESCONTRACTS!$E$1,"BRANCH_NUMBER",1,"COMMODITY_CODE","04")/56</f>
        <v>2385246.5</v>
      </c>
      <c r="P77" s="2">
        <f>+GETPIVOTDATA("LBS_UPDATED",[2]SALESCONTRACTS!$E$1,"BRANCH_NUMBER",1,"COMMODITY_CODE","03")/60</f>
        <v>800000</v>
      </c>
      <c r="Q77" s="2">
        <f>+GETPIVOTDATA("LBS_UPDATED",[2]SALESCONTRACTS!$E$1,"BRANCH_NUMBER",1,"COMMODITY_CODE","22")/25</f>
        <v>0</v>
      </c>
      <c r="R77" s="5"/>
      <c r="S77" s="7"/>
      <c r="T77" s="7"/>
      <c r="U77" s="7"/>
      <c r="V77" s="31"/>
      <c r="W77" s="31"/>
      <c r="X77" s="7"/>
      <c r="Y77" s="4">
        <f t="shared" si="17"/>
        <v>-5939648.8095238097</v>
      </c>
      <c r="Z77" s="5"/>
      <c r="AA77" s="5"/>
      <c r="AB77" s="5"/>
      <c r="AC77" s="5"/>
      <c r="AD77" s="8"/>
      <c r="AE77" s="8"/>
      <c r="AF77" s="4">
        <f t="shared" si="19"/>
        <v>5939648.8095238097</v>
      </c>
      <c r="AG77" s="7"/>
      <c r="AH77" s="9"/>
      <c r="AI77" s="9"/>
      <c r="AJ77" s="9"/>
      <c r="AK77" s="6"/>
      <c r="AL77" s="7"/>
      <c r="AM77" s="31"/>
      <c r="AN77" s="31"/>
      <c r="AO77" s="7"/>
      <c r="AP77" s="4">
        <f t="shared" si="20"/>
        <v>5939648.8095238097</v>
      </c>
      <c r="AQ77" s="12"/>
      <c r="AR77" s="13"/>
      <c r="AS77" s="13"/>
      <c r="AT77" s="14">
        <v>820000</v>
      </c>
      <c r="AU77" s="14">
        <v>400000</v>
      </c>
      <c r="AV77" s="14">
        <v>800000</v>
      </c>
      <c r="AW77" s="14"/>
      <c r="AX77" s="14"/>
      <c r="AY77" s="16"/>
      <c r="AZ77" s="4">
        <f t="shared" si="21"/>
        <v>7959648.8095238097</v>
      </c>
      <c r="BA77" s="14">
        <v>-2810000</v>
      </c>
      <c r="BB77" s="14"/>
      <c r="BC77" s="14">
        <v>-2580000</v>
      </c>
      <c r="BD77" s="14"/>
      <c r="BE77" s="16"/>
      <c r="BF77" s="4">
        <f t="shared" si="22"/>
        <v>2569648.8095238097</v>
      </c>
      <c r="BG77" s="18"/>
      <c r="BH77" s="18"/>
      <c r="BI77" s="18"/>
      <c r="BJ77" s="18"/>
      <c r="BK77" s="18"/>
      <c r="BL77" s="19"/>
      <c r="BM77" s="20">
        <f t="shared" si="23"/>
        <v>2569648.8095238097</v>
      </c>
    </row>
    <row r="78" spans="1:65" x14ac:dyDescent="0.3">
      <c r="C78" s="1" t="s">
        <v>125</v>
      </c>
      <c r="D78" s="2">
        <f t="shared" ref="D78:I78" si="24">SUM(D2:D77)</f>
        <v>25451928.833333332</v>
      </c>
      <c r="E78" s="2">
        <f t="shared" si="24"/>
        <v>3859095.2321428582</v>
      </c>
      <c r="F78" s="2">
        <f t="shared" si="24"/>
        <v>10430478.874999998</v>
      </c>
      <c r="G78" s="2">
        <f t="shared" si="24"/>
        <v>10973924.866666669</v>
      </c>
      <c r="H78" s="2">
        <f t="shared" si="24"/>
        <v>-683.08</v>
      </c>
      <c r="I78" s="2">
        <f t="shared" si="24"/>
        <v>0</v>
      </c>
      <c r="J78" s="59"/>
      <c r="K78" s="4">
        <f t="shared" si="16"/>
        <v>50714744.727142856</v>
      </c>
      <c r="L78" s="60"/>
      <c r="M78" s="2">
        <f t="shared" ref="M78:W78" si="25">SUM(M2:M77)</f>
        <v>4839089.5999999996</v>
      </c>
      <c r="N78" s="2">
        <f t="shared" si="25"/>
        <v>1518311.625</v>
      </c>
      <c r="O78" s="2">
        <f t="shared" si="25"/>
        <v>5168799.4464285709</v>
      </c>
      <c r="P78" s="2">
        <f t="shared" si="25"/>
        <v>824437.23333333328</v>
      </c>
      <c r="Q78" s="2">
        <f t="shared" si="25"/>
        <v>2743.28</v>
      </c>
      <c r="R78" s="2">
        <f t="shared" si="25"/>
        <v>0</v>
      </c>
      <c r="S78" s="2">
        <f t="shared" si="25"/>
        <v>0</v>
      </c>
      <c r="T78" s="2">
        <f t="shared" si="25"/>
        <v>0</v>
      </c>
      <c r="U78" s="2">
        <f t="shared" si="25"/>
        <v>0</v>
      </c>
      <c r="V78" s="2">
        <f t="shared" si="25"/>
        <v>129500</v>
      </c>
      <c r="W78" s="2">
        <f t="shared" si="25"/>
        <v>798000</v>
      </c>
      <c r="X78" s="61"/>
      <c r="Y78" s="4">
        <f t="shared" si="17"/>
        <v>37433863.542380944</v>
      </c>
      <c r="Z78" s="60"/>
      <c r="AA78" s="2">
        <f>SUM(AA2:AA77)</f>
        <v>57000411</v>
      </c>
      <c r="AB78" s="2">
        <f>SUM(AB2:AB77)</f>
        <v>8302096</v>
      </c>
      <c r="AC78" s="2">
        <f>SUM(AC2:AC77)</f>
        <v>0</v>
      </c>
      <c r="AD78" s="62"/>
      <c r="AE78" s="62"/>
      <c r="AF78" s="4">
        <f t="shared" si="19"/>
        <v>27868643.457619056</v>
      </c>
      <c r="AG78" s="60"/>
      <c r="AH78" s="2">
        <f>SUM(AH2:AH77)</f>
        <v>0</v>
      </c>
      <c r="AI78" s="2">
        <f>SUM(AI2:AI77)</f>
        <v>0</v>
      </c>
      <c r="AJ78" s="2">
        <f>SUM(AJ2:AJ77)</f>
        <v>0</v>
      </c>
      <c r="AK78" s="2">
        <f>SUM(AK2:AK77)</f>
        <v>0</v>
      </c>
      <c r="AL78" s="2"/>
      <c r="AM78" s="2">
        <f>SUM(AM1:AM77)</f>
        <v>24132000</v>
      </c>
      <c r="AN78" s="2">
        <f>SUM(AN2:AN77)</f>
        <v>0</v>
      </c>
      <c r="AO78" s="60"/>
      <c r="AP78" s="4">
        <f t="shared" si="20"/>
        <v>3736643.4576190561</v>
      </c>
      <c r="AQ78" s="60"/>
      <c r="AR78" s="2">
        <f t="shared" ref="AR78:AX78" si="26">SUM(AR2:AR77)</f>
        <v>0</v>
      </c>
      <c r="AS78" s="2">
        <f t="shared" si="26"/>
        <v>0</v>
      </c>
      <c r="AT78" s="2">
        <f t="shared" si="26"/>
        <v>1357000</v>
      </c>
      <c r="AU78" s="2">
        <f t="shared" si="26"/>
        <v>1403000</v>
      </c>
      <c r="AV78" s="2">
        <f t="shared" si="26"/>
        <v>2495000</v>
      </c>
      <c r="AW78" s="2">
        <f t="shared" si="26"/>
        <v>800000</v>
      </c>
      <c r="AX78" s="2">
        <f t="shared" si="26"/>
        <v>0</v>
      </c>
      <c r="AY78" s="2"/>
      <c r="AZ78" s="4">
        <f>SUM(AI78:AQ78)</f>
        <v>27868643.457619056</v>
      </c>
      <c r="BA78" s="2">
        <f>SUM(BA2:BA77)</f>
        <v>0</v>
      </c>
      <c r="BB78" s="2">
        <f>SUM(BB2:BB77)</f>
        <v>0</v>
      </c>
      <c r="BC78" s="2">
        <f>SUM(BC2:BC77)</f>
        <v>25000</v>
      </c>
      <c r="BD78" s="2">
        <f>SUM(BD2:BD77)</f>
        <v>0</v>
      </c>
      <c r="BE78" s="60"/>
      <c r="BF78" s="4">
        <f>SUM(AP78:AX78)</f>
        <v>9791643.4576190561</v>
      </c>
      <c r="BG78" s="63">
        <f>SUM(BG2:BG77)</f>
        <v>1118000</v>
      </c>
      <c r="BH78" s="63">
        <f>SUM(BH2:BH77)</f>
        <v>1712000</v>
      </c>
      <c r="BI78" s="63">
        <f>SUM(BI2:BI77)</f>
        <v>1264000</v>
      </c>
      <c r="BJ78" s="63">
        <f>SUM(BJ2:BJ77)</f>
        <v>3129000</v>
      </c>
      <c r="BK78" s="63">
        <f>SUM(BK2:BK77)</f>
        <v>0</v>
      </c>
      <c r="BL78" s="64"/>
      <c r="BM78" s="20">
        <f t="shared" si="23"/>
        <v>17014643.457619056</v>
      </c>
    </row>
  </sheetData>
  <conditionalFormatting sqref="AF2:AF11 Y2:Y11 AP2:AP11 BF2:BF11 BM2:BM11 K2:K11 AF34 Y34 AP34 BF34 BM34 K34 K13:K32 BM13:BM32 BF13:BF32 AP13:AP32 Y13:Y32 AF13:AF32 K36:K78 BM36:BM78 BF36:BF78 AP36:AP78 Y36:Y78 AF36:AF78">
    <cfRule type="cellIs" dxfId="63" priority="7" stopIfTrue="1" operator="greaterThanOrEqual">
      <formula>0</formula>
    </cfRule>
    <cfRule type="cellIs" dxfId="62" priority="8" stopIfTrue="1" operator="lessThan">
      <formula>0</formula>
    </cfRule>
  </conditionalFormatting>
  <conditionalFormatting sqref="AF35 Y35 AP35 BF35 BM35 K35">
    <cfRule type="cellIs" dxfId="61" priority="5" stopIfTrue="1" operator="greaterThanOrEqual">
      <formula>0</formula>
    </cfRule>
    <cfRule type="cellIs" dxfId="60" priority="6" stopIfTrue="1" operator="lessThan">
      <formula>0</formula>
    </cfRule>
  </conditionalFormatting>
  <conditionalFormatting sqref="AF12 Y12 AP12 BF12 BM12 K12">
    <cfRule type="cellIs" dxfId="59" priority="3" stopIfTrue="1" operator="greaterThanOrEqual">
      <formula>0</formula>
    </cfRule>
    <cfRule type="cellIs" dxfId="58" priority="4" stopIfTrue="1" operator="lessThan">
      <formula>0</formula>
    </cfRule>
  </conditionalFormatting>
  <conditionalFormatting sqref="K33 BM33 BF33 AP33 Y33 AF33">
    <cfRule type="cellIs" dxfId="57" priority="1" stopIfTrue="1" operator="greaterThanOrEqual">
      <formula>0</formula>
    </cfRule>
    <cfRule type="cellIs" dxfId="56" priority="2" stopIfTrue="1" operator="lessThan">
      <formula>0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Mandie Lyons</dc:creator>
  <cp:lastModifiedBy>Mandie Lyons</cp:lastModifiedBy>
  <dcterms:created xsi:type="dcterms:W3CDTF">2017-02-01T20:08:45Z</dcterms:created>
  <dcterms:modified xsi:type="dcterms:W3CDTF">2017-02-17T15:42:47Z</dcterms:modified>
</cp:coreProperties>
</file>