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esktop\DSE\"/>
    </mc:Choice>
  </mc:AlternateContent>
  <bookViews>
    <workbookView xWindow="0" yWindow="0" windowWidth="28800" windowHeight="14100" activeTab="1"/>
  </bookViews>
  <sheets>
    <sheet name="Calculations" sheetId="1" r:id="rId1"/>
    <sheet name="Engines" sheetId="5" r:id="rId2"/>
    <sheet name="Data" sheetId="3" r:id="rId3"/>
    <sheet name="Literature" sheetId="2" r:id="rId4"/>
    <sheet name="Sensitivity" sheetId="4" r:id="rId5"/>
    <sheet name="HAMRA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20" i="5"/>
  <c r="L11" i="5"/>
  <c r="L12" i="5"/>
  <c r="L13" i="5"/>
  <c r="L14" i="5"/>
  <c r="L15" i="5"/>
  <c r="L16" i="5"/>
  <c r="L17" i="5"/>
  <c r="L2" i="5"/>
  <c r="M10" i="1"/>
  <c r="K10" i="1" l="1"/>
  <c r="J10" i="1"/>
  <c r="X24" i="4"/>
  <c r="W24" i="4"/>
  <c r="V24" i="4"/>
  <c r="U24" i="4"/>
  <c r="H20" i="1"/>
  <c r="K20" i="1" s="1"/>
  <c r="E20" i="1"/>
  <c r="J20" i="1" l="1"/>
  <c r="M20" i="1"/>
  <c r="G20" i="1"/>
  <c r="I20" i="1"/>
  <c r="F20" i="1"/>
  <c r="A67" i="1"/>
  <c r="D3" i="5"/>
  <c r="K3" i="5" s="1"/>
  <c r="D4" i="5"/>
  <c r="K4" i="5" s="1"/>
  <c r="D5" i="5"/>
  <c r="K5" i="5" s="1"/>
  <c r="D6" i="5"/>
  <c r="K6" i="5" s="1"/>
  <c r="D7" i="5"/>
  <c r="K7" i="5" s="1"/>
  <c r="D8" i="5"/>
  <c r="K8" i="5" s="1"/>
  <c r="D9" i="5"/>
  <c r="K9" i="5" s="1"/>
  <c r="D10" i="5"/>
  <c r="K10" i="5" s="1"/>
  <c r="D20" i="5"/>
  <c r="K20" i="5" s="1"/>
  <c r="D11" i="5"/>
  <c r="K11" i="5" s="1"/>
  <c r="D12" i="5"/>
  <c r="K12" i="5" s="1"/>
  <c r="D13" i="5"/>
  <c r="K13" i="5" s="1"/>
  <c r="D14" i="5"/>
  <c r="K14" i="5" s="1"/>
  <c r="D15" i="5"/>
  <c r="K15" i="5" s="1"/>
  <c r="D16" i="5"/>
  <c r="K16" i="5" s="1"/>
  <c r="D17" i="5"/>
  <c r="K17" i="5" s="1"/>
  <c r="K19" i="5"/>
  <c r="D2" i="5"/>
  <c r="K2" i="5" s="1"/>
  <c r="N52" i="1" l="1"/>
  <c r="P24" i="4" l="1"/>
  <c r="Q24" i="4"/>
  <c r="R24" i="4"/>
  <c r="O24" i="4"/>
  <c r="P12" i="4"/>
  <c r="Q12" i="4"/>
  <c r="R12" i="4"/>
  <c r="O12" i="4"/>
  <c r="L24" i="4" l="1"/>
  <c r="J24" i="4"/>
  <c r="H6" i="4"/>
  <c r="H7" i="4"/>
  <c r="H8" i="4"/>
  <c r="H9" i="4"/>
  <c r="H10" i="4"/>
  <c r="H11" i="4"/>
  <c r="H5" i="4"/>
  <c r="J12" i="4" s="1"/>
  <c r="E24" i="4"/>
  <c r="F24" i="4"/>
  <c r="C24" i="4"/>
  <c r="D24" i="4"/>
  <c r="D12" i="4"/>
  <c r="E12" i="4"/>
  <c r="F12" i="4"/>
  <c r="C12" i="4"/>
  <c r="L12" i="4" l="1"/>
  <c r="K12" i="4"/>
  <c r="I12" i="4"/>
  <c r="K24" i="4"/>
  <c r="I24" i="4"/>
  <c r="F74" i="1"/>
  <c r="C76" i="1" l="1"/>
  <c r="A53" i="1"/>
  <c r="A52" i="1" s="1"/>
  <c r="A61" i="1"/>
  <c r="A60" i="1" s="1"/>
  <c r="F62" i="1"/>
  <c r="F60" i="1" s="1"/>
  <c r="N60" i="1"/>
  <c r="D60" i="1"/>
  <c r="C60" i="1"/>
  <c r="B60" i="1"/>
  <c r="F72" i="1"/>
  <c r="A73" i="1"/>
  <c r="A72" i="1" s="1"/>
  <c r="D72" i="1"/>
  <c r="C72" i="1"/>
  <c r="B72" i="1"/>
  <c r="F48" i="1"/>
  <c r="F46" i="1" s="1"/>
  <c r="C41" i="1"/>
  <c r="C40" i="1"/>
  <c r="A35" i="1"/>
  <c r="A34" i="1" s="1"/>
  <c r="F36" i="1"/>
  <c r="F34" i="1" s="1"/>
  <c r="D34" i="1"/>
  <c r="C34" i="1"/>
  <c r="B34" i="1"/>
  <c r="B28" i="1"/>
  <c r="C28" i="1"/>
  <c r="D28" i="1"/>
  <c r="A29" i="1"/>
  <c r="A28" i="1" s="1"/>
  <c r="F30" i="1"/>
  <c r="C46" i="1"/>
  <c r="C52" i="1"/>
  <c r="C66" i="1"/>
  <c r="A66" i="1"/>
  <c r="A47" i="1"/>
  <c r="A46" i="1" s="1"/>
  <c r="A41" i="1"/>
  <c r="A40" i="1" s="1"/>
  <c r="B66" i="1"/>
  <c r="B52" i="1"/>
  <c r="B46" i="1"/>
  <c r="B40" i="1"/>
  <c r="F54" i="1"/>
  <c r="F52" i="1" s="1"/>
  <c r="D66" i="1"/>
  <c r="F4" i="1"/>
  <c r="D41" i="1"/>
  <c r="D40" i="1" s="1"/>
  <c r="D46" i="1"/>
  <c r="H46" i="1" s="1"/>
  <c r="D52" i="1"/>
  <c r="F42" i="1"/>
  <c r="F40" i="1" s="1"/>
  <c r="H60" i="1" l="1"/>
  <c r="H61" i="1" s="1"/>
  <c r="H72" i="1"/>
  <c r="H73" i="1" s="1"/>
  <c r="N34" i="1"/>
  <c r="F28" i="1"/>
  <c r="H28" i="1" s="1"/>
  <c r="H29" i="1" s="1"/>
  <c r="N28" i="1"/>
  <c r="H34" i="1"/>
  <c r="H35" i="1" s="1"/>
  <c r="H47" i="1"/>
  <c r="H40" i="1"/>
  <c r="H41" i="1" s="1"/>
  <c r="H52" i="1"/>
  <c r="H53" i="1" s="1"/>
  <c r="F66" i="1"/>
  <c r="G10" i="1"/>
  <c r="D4" i="1"/>
  <c r="E11" i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I10" i="1"/>
  <c r="L10" i="1" s="1"/>
  <c r="F10" i="1"/>
  <c r="E12" i="1"/>
  <c r="M12" i="1" s="1"/>
  <c r="E13" i="1"/>
  <c r="M13" i="1" s="1"/>
  <c r="E14" i="1"/>
  <c r="M14" i="1" s="1"/>
  <c r="E15" i="1"/>
  <c r="M15" i="1" s="1"/>
  <c r="E16" i="1"/>
  <c r="M16" i="1" s="1"/>
  <c r="E17" i="1"/>
  <c r="M17" i="1" s="1"/>
  <c r="E18" i="1"/>
  <c r="M18" i="1" s="1"/>
  <c r="E19" i="1"/>
  <c r="M19" i="1" s="1"/>
  <c r="P66" i="1" l="1"/>
  <c r="J11" i="1"/>
  <c r="M11" i="1"/>
  <c r="G14" i="1"/>
  <c r="J14" i="1"/>
  <c r="F16" i="1"/>
  <c r="J16" i="1"/>
  <c r="F18" i="1"/>
  <c r="J18" i="1"/>
  <c r="P40" i="1"/>
  <c r="P42" i="1" s="1"/>
  <c r="L20" i="1"/>
  <c r="P20" i="1" s="1"/>
  <c r="P34" i="1"/>
  <c r="F17" i="1"/>
  <c r="J17" i="1"/>
  <c r="F13" i="1"/>
  <c r="J13" i="1"/>
  <c r="P52" i="1"/>
  <c r="P28" i="1"/>
  <c r="R28" i="1" s="1"/>
  <c r="P72" i="1"/>
  <c r="F15" i="1"/>
  <c r="J15" i="1"/>
  <c r="P60" i="1"/>
  <c r="P62" i="1" s="1"/>
  <c r="F12" i="1"/>
  <c r="J12" i="1"/>
  <c r="F19" i="1"/>
  <c r="J19" i="1"/>
  <c r="J21" i="1" s="1"/>
  <c r="R60" i="1"/>
  <c r="P54" i="1"/>
  <c r="P46" i="1"/>
  <c r="R46" i="1" s="1"/>
  <c r="H66" i="1"/>
  <c r="H67" i="1" s="1"/>
  <c r="R66" i="1"/>
  <c r="R40" i="1"/>
  <c r="I11" i="1"/>
  <c r="L11" i="1" s="1"/>
  <c r="I15" i="1"/>
  <c r="L15" i="1" s="1"/>
  <c r="G17" i="1"/>
  <c r="G13" i="1"/>
  <c r="G16" i="1"/>
  <c r="G12" i="1"/>
  <c r="G19" i="1"/>
  <c r="G15" i="1"/>
  <c r="G11" i="1"/>
  <c r="F14" i="1"/>
  <c r="I14" i="1"/>
  <c r="L14" i="1" s="1"/>
  <c r="I12" i="1"/>
  <c r="L12" i="1" s="1"/>
  <c r="G18" i="1"/>
  <c r="F11" i="1"/>
  <c r="I17" i="1"/>
  <c r="L17" i="1" s="1"/>
  <c r="I16" i="1"/>
  <c r="L16" i="1" s="1"/>
  <c r="I19" i="1"/>
  <c r="I18" i="1"/>
  <c r="L18" i="1" s="1"/>
  <c r="I13" i="1"/>
  <c r="L13" i="1" s="1"/>
  <c r="L19" i="1" l="1"/>
  <c r="I21" i="1"/>
  <c r="T34" i="1"/>
  <c r="T36" i="1" s="1"/>
  <c r="T66" i="1"/>
  <c r="T68" i="1" s="1"/>
  <c r="T72" i="1"/>
  <c r="T52" i="1"/>
  <c r="V52" i="1" s="1"/>
  <c r="T28" i="1"/>
  <c r="T60" i="1"/>
  <c r="T46" i="1"/>
  <c r="T40" i="1"/>
  <c r="V40" i="1" s="1"/>
  <c r="R72" i="1"/>
  <c r="P74" i="1"/>
  <c r="P30" i="1"/>
  <c r="P36" i="1"/>
  <c r="R34" i="1"/>
  <c r="P48" i="1"/>
  <c r="P68" i="1"/>
  <c r="R52" i="1"/>
  <c r="V34" i="1" l="1"/>
  <c r="T62" i="1"/>
  <c r="V60" i="1"/>
  <c r="T74" i="1"/>
  <c r="V72" i="1"/>
  <c r="T54" i="1"/>
  <c r="T30" i="1"/>
  <c r="V28" i="1"/>
  <c r="T42" i="1"/>
  <c r="V66" i="1"/>
  <c r="T48" i="1"/>
  <c r="V46" i="1"/>
  <c r="V75" i="1" l="1"/>
</calcChain>
</file>

<file path=xl/sharedStrings.xml><?xml version="1.0" encoding="utf-8"?>
<sst xmlns="http://schemas.openxmlformats.org/spreadsheetml/2006/main" count="596" uniqueCount="250">
  <si>
    <t>Density</t>
  </si>
  <si>
    <t>Altitude</t>
  </si>
  <si>
    <t>Temp</t>
  </si>
  <si>
    <t>Celcius</t>
  </si>
  <si>
    <t>Pressure</t>
  </si>
  <si>
    <t>Variables</t>
  </si>
  <si>
    <t>Calculables</t>
  </si>
  <si>
    <t>ft</t>
  </si>
  <si>
    <t>m</t>
  </si>
  <si>
    <t>kg</t>
  </si>
  <si>
    <t>N</t>
  </si>
  <si>
    <t>Disk Loading</t>
  </si>
  <si>
    <t>N/m^2</t>
  </si>
  <si>
    <t>a</t>
  </si>
  <si>
    <t>Slide 68</t>
  </si>
  <si>
    <t>slide 71</t>
  </si>
  <si>
    <t>Rotor Area</t>
  </si>
  <si>
    <t>Kaman Kmax</t>
  </si>
  <si>
    <t>Rotor RPM</t>
  </si>
  <si>
    <t xml:space="preserve">rpm </t>
  </si>
  <si>
    <t>http://www.aviastar.org/helicopters_eng/kaman_max.php</t>
  </si>
  <si>
    <t>lbs</t>
  </si>
  <si>
    <t>https://web.archive.org/web/20130913122921/http://www.unicopter.com/1465.html</t>
  </si>
  <si>
    <t>Aerodynamics of V/STOL Flight</t>
  </si>
  <si>
    <t>Door Barnes Warnock McCormick</t>
  </si>
  <si>
    <t>Induced Power</t>
  </si>
  <si>
    <t>K overlap</t>
  </si>
  <si>
    <t>https://www.flightsafetyaustralia.com/2018/02/a-matter-of-time-plus-speed-distance-weight-and-heat/</t>
  </si>
  <si>
    <t>-</t>
  </si>
  <si>
    <t>Piasecki HUP</t>
  </si>
  <si>
    <t>Sikorsky S-97 Raider</t>
  </si>
  <si>
    <t>Sikorsky X2</t>
  </si>
  <si>
    <t>kg/m^2</t>
  </si>
  <si>
    <t>Janes AWA</t>
  </si>
  <si>
    <t>m radius</t>
  </si>
  <si>
    <t>W/N</t>
  </si>
  <si>
    <t>Power Loading</t>
  </si>
  <si>
    <t>W</t>
  </si>
  <si>
    <t>OEW</t>
  </si>
  <si>
    <t>MTOW</t>
  </si>
  <si>
    <t>OEW+PL</t>
  </si>
  <si>
    <t>Payload</t>
  </si>
  <si>
    <t>SAME ROTOR</t>
  </si>
  <si>
    <t>kW</t>
  </si>
  <si>
    <t>HAMRAC</t>
  </si>
  <si>
    <t>Fuel</t>
  </si>
  <si>
    <t>d</t>
  </si>
  <si>
    <t>m diameter</t>
  </si>
  <si>
    <t xml:space="preserve">Fuel </t>
  </si>
  <si>
    <t>H125</t>
  </si>
  <si>
    <t>https://arc.aiaa.org/doi/pdf/10.2514/6.2015-0564</t>
  </si>
  <si>
    <t>12.5 deg</t>
  </si>
  <si>
    <t>Model</t>
  </si>
  <si>
    <t>Concept</t>
  </si>
  <si>
    <t>OEW kg</t>
  </si>
  <si>
    <t>MTOW kg</t>
  </si>
  <si>
    <t>OEW/MTOW</t>
  </si>
  <si>
    <t>Average</t>
  </si>
  <si>
    <t>Maximum Power (kW)</t>
  </si>
  <si>
    <t>Maximum Power (hp)</t>
  </si>
  <si>
    <t>Cruise Speed</t>
  </si>
  <si>
    <t>Range [km]</t>
  </si>
  <si>
    <t>Rate of climb</t>
  </si>
  <si>
    <t>Thrust/OEW</t>
  </si>
  <si>
    <t>Fuel Flow</t>
  </si>
  <si>
    <t>Service Ceiling</t>
  </si>
  <si>
    <t>Carry Weight</t>
  </si>
  <si>
    <t>Endurance</t>
  </si>
  <si>
    <t>Purchase cost new [M$]</t>
  </si>
  <si>
    <t>Cost / MTOW [$/kg]</t>
  </si>
  <si>
    <t>Variable cost [$/hr]</t>
  </si>
  <si>
    <t>Fixed cost [$/year]</t>
  </si>
  <si>
    <t>References</t>
  </si>
  <si>
    <t>Co-axial</t>
  </si>
  <si>
    <t>?</t>
  </si>
  <si>
    <t>10,000 ft (3,000 m)</t>
  </si>
  <si>
    <t>2h 40min</t>
  </si>
  <si>
    <t>https://www.militaryfactory.com/aircraft/detail.asp?aircraft_id=1074</t>
  </si>
  <si>
    <t>Cierva CR Twin / CR.LTH-1</t>
  </si>
  <si>
    <t>6120 m</t>
  </si>
  <si>
    <t>4.1 h</t>
  </si>
  <si>
    <t>http://all-aero.com/index.php/35-helicopters/copters/2359-cievra-cr-twin ; http://avia-pro.net/blog/vertolyot-cierva-cr-twin-tehnicheskie-harakteristiki-foto</t>
  </si>
  <si>
    <t>Kamov Ka 26</t>
  </si>
  <si>
    <t>2.999 m</t>
  </si>
  <si>
    <t>2.35 h</t>
  </si>
  <si>
    <t>http://www.flugzeuginfo.net/acdata_php/acdata_ka26_en.php</t>
  </si>
  <si>
    <t>EDM Aerotec CoAX 2D/2R</t>
  </si>
  <si>
    <t>48L fuel tank</t>
  </si>
  <si>
    <t>https://www.edm-aerotec.de/index.php?id=26 ; https://siamagazin.com/aerotec-coax-2d-ultralight-helicopter/</t>
  </si>
  <si>
    <t>Kamov Ka50</t>
  </si>
  <si>
    <t>/</t>
  </si>
  <si>
    <t>0.49 km/lit</t>
  </si>
  <si>
    <t>Aérospatiale SA315</t>
  </si>
  <si>
    <t>Conventional</t>
  </si>
  <si>
    <t>5,5</t>
  </si>
  <si>
    <t>Bell 206</t>
  </si>
  <si>
    <t>1.25km per lit</t>
  </si>
  <si>
    <t>4115m</t>
  </si>
  <si>
    <t>https://www.aircraftcompare.com/helicopter-airplane/Bell-206/208</t>
  </si>
  <si>
    <t>eurocopter H125/ AS 350 B3</t>
  </si>
  <si>
    <t>Eurocopter AS355</t>
  </si>
  <si>
    <t>0.98km per lit</t>
  </si>
  <si>
    <t>4876m</t>
  </si>
  <si>
    <t>https://www.aircraftcompare.com/aircraft-specification/Eurocopter-AS365-Dauphin/224/spec</t>
  </si>
  <si>
    <t>Augusta Westland AW109</t>
  </si>
  <si>
    <t>0.468 kg/kW·h</t>
  </si>
  <si>
    <t>4572m</t>
  </si>
  <si>
    <t>http://www.flugzeuginfo.net/acdata_php/acdata_a109_en.php</t>
  </si>
  <si>
    <t>eurocopter EC 135 T3</t>
  </si>
  <si>
    <t>7,6</t>
  </si>
  <si>
    <t>Eurocopter EC135</t>
  </si>
  <si>
    <t>185gal/3.5hr</t>
  </si>
  <si>
    <t>13250ft (HIGE)</t>
  </si>
  <si>
    <t>3.5hr</t>
  </si>
  <si>
    <t>https://www.airbushelicoptersinc.com/products/H135-specifications.asp</t>
  </si>
  <si>
    <t>Aérospatiale SA 360C Dauphin</t>
  </si>
  <si>
    <t>https://ipfs.io/ipfs/QmXoypizjW3WknFiJnKLwHCnL72vedxjQkDDP1mXWo6uco/wiki/A%C3%A9rospatiale_SA_360_Dauphin.html</t>
  </si>
  <si>
    <t>AgustaWestland AW109 (Power with PW206C)</t>
  </si>
  <si>
    <t>9,8</t>
  </si>
  <si>
    <t>https://www.leonardocompany.com/documents/63265270/69072454/body_AW109_Law_Enforcement.pdf</t>
  </si>
  <si>
    <t>Bell 429</t>
  </si>
  <si>
    <t>13,97</t>
  </si>
  <si>
    <t>Aerospatiale SA360</t>
  </si>
  <si>
    <t>0.63 km per litre</t>
  </si>
  <si>
    <t>5852m</t>
  </si>
  <si>
    <t>https://www.aircraftcompare.com/aircraft-specification/Eurocopter-AS355/229/spec</t>
  </si>
  <si>
    <t>Bell UH-1 Iroquois</t>
  </si>
  <si>
    <t>8,92</t>
  </si>
  <si>
    <t>https://www.bjtonline.com/aircraft/bell-uh-1h</t>
  </si>
  <si>
    <t>Eurocopter AS365 Dauphin</t>
  </si>
  <si>
    <t>8,9</t>
  </si>
  <si>
    <t>HAL Dhruv</t>
  </si>
  <si>
    <t>Conventional (too heavy though)</t>
  </si>
  <si>
    <t>0.59km per lit</t>
  </si>
  <si>
    <t>4500m</t>
  </si>
  <si>
    <t>https://www.aircraftcompare.com/helicopter-airplane/HAL-Dhruv-ALH/276</t>
  </si>
  <si>
    <t>AH-1J SeaCobra</t>
  </si>
  <si>
    <t>7,1</t>
  </si>
  <si>
    <t>Eurocopter AS532 Cougar</t>
  </si>
  <si>
    <t>7,2</t>
  </si>
  <si>
    <t>Sikorsky S70 (Black Hawk)</t>
  </si>
  <si>
    <t>0.29km per lit</t>
  </si>
  <si>
    <t>5791m</t>
  </si>
  <si>
    <t>https://www.aircraftcompare.com/helicopter-airplane/Sikorsky-S-70i-Black-Hawk/234</t>
  </si>
  <si>
    <t>Westland Sea King</t>
  </si>
  <si>
    <t>10,3</t>
  </si>
  <si>
    <t>Sikorsky SH-60 Seahawk</t>
  </si>
  <si>
    <t>8,38</t>
  </si>
  <si>
    <t>Boeing Chinook CH47-D</t>
  </si>
  <si>
    <t>Tandem</t>
  </si>
  <si>
    <t>358 gal/hour</t>
  </si>
  <si>
    <t>5639 m</t>
  </si>
  <si>
    <t>http://www.flugzeuginfo.net/acdata_php/acdata_ch47_dt.php</t>
  </si>
  <si>
    <t>CH46 Sea Knight</t>
  </si>
  <si>
    <t>0.389 kg/(kW h)</t>
  </si>
  <si>
    <t>4267m</t>
  </si>
  <si>
    <t>Bristol Belvedere</t>
  </si>
  <si>
    <t>0.688 lb/(hp h) (0.4185 kg/(kW h))</t>
  </si>
  <si>
    <t>Piasecki H21</t>
  </si>
  <si>
    <t>2362 m</t>
  </si>
  <si>
    <t>http://www.flugzeuginfo.net/acdata_php/acdata_h21_en.php</t>
  </si>
  <si>
    <t>http://www.flugzeuginfo.net/acdata_php/acdata_retriever_dt.php</t>
  </si>
  <si>
    <t>Yakolev Yak-24</t>
  </si>
  <si>
    <t>4200m</t>
  </si>
  <si>
    <t>Kaman K Max</t>
  </si>
  <si>
    <t>Intermeshing</t>
  </si>
  <si>
    <t>0.57 km/lit</t>
  </si>
  <si>
    <t>https://www.aircraftcompare.com/helicopter-airplane/Kaman-K-Max/426</t>
  </si>
  <si>
    <t>Kaman HH43</t>
  </si>
  <si>
    <t>0.71lb/hp/hr</t>
  </si>
  <si>
    <t>7010m</t>
  </si>
  <si>
    <t>http://www.flugzeuginfo.net/acdata_php/acdata_k600_en.php</t>
  </si>
  <si>
    <t>Kellet XR-10</t>
  </si>
  <si>
    <t>Bell 206LT</t>
  </si>
  <si>
    <t>3048m</t>
  </si>
  <si>
    <t>https://www.bjtonline.com/aircraft/bell-206lt</t>
  </si>
  <si>
    <t>Bell 206BR</t>
  </si>
  <si>
    <t>https://www.bjtonline.com/aircraft/bell-206br</t>
  </si>
  <si>
    <t>Bell 212</t>
  </si>
  <si>
    <t>3932m</t>
  </si>
  <si>
    <t>https://www.bjtonline.com/aircraft/bell-212#</t>
  </si>
  <si>
    <t>Bell 230</t>
  </si>
  <si>
    <t>4724m</t>
  </si>
  <si>
    <t>https://www.bjtonline.com/aircraft/bell-230</t>
  </si>
  <si>
    <t>Bell 407GXP</t>
  </si>
  <si>
    <t>4892m</t>
  </si>
  <si>
    <t>https://www.bjtonline.com/aircraft/bell-407-gxp</t>
  </si>
  <si>
    <t>Airbus AS355NP Twinstar</t>
  </si>
  <si>
    <t>4124m</t>
  </si>
  <si>
    <t>https://www.bjtonline.com/aircraft/airbus-helicopters-as355np-twinstar</t>
  </si>
  <si>
    <t>Leonardo AW119KX</t>
  </si>
  <si>
    <t>5456m</t>
  </si>
  <si>
    <t>https://www.bjtonline.com/aircraft/leonardo-helicopters-aw119-kx</t>
  </si>
  <si>
    <t>Janes AWA 1957-59</t>
  </si>
  <si>
    <t>Kamov Ka-26</t>
  </si>
  <si>
    <t xml:space="preserve">AW 109 </t>
  </si>
  <si>
    <t>Structural Penalty Tandem</t>
  </si>
  <si>
    <t>HUP</t>
  </si>
  <si>
    <t>H-21</t>
  </si>
  <si>
    <t xml:space="preserve"> </t>
  </si>
  <si>
    <t>Weight</t>
  </si>
  <si>
    <t>Coaxial</t>
  </si>
  <si>
    <t>EHP1</t>
  </si>
  <si>
    <t>Manufacterer</t>
  </si>
  <si>
    <t>Type name</t>
  </si>
  <si>
    <t>General Electric</t>
  </si>
  <si>
    <t>Performance [kW]</t>
  </si>
  <si>
    <t>Weight [kg]</t>
  </si>
  <si>
    <t>Length [mm]</t>
  </si>
  <si>
    <t>Nominal Diameter [mm]</t>
  </si>
  <si>
    <t>Overall Diameter [mm]</t>
  </si>
  <si>
    <t>CT7-2A</t>
  </si>
  <si>
    <t>CT7-8A</t>
  </si>
  <si>
    <t>Specific Fuel Consumption [microg/J]</t>
  </si>
  <si>
    <t>SFC [lb/h/shp]</t>
  </si>
  <si>
    <t>Performance [shp]</t>
  </si>
  <si>
    <t>Honeywell</t>
  </si>
  <si>
    <t>CTS800-50</t>
  </si>
  <si>
    <t>T800-801</t>
  </si>
  <si>
    <t>HTS900</t>
  </si>
  <si>
    <t>T5317A</t>
  </si>
  <si>
    <t>T5311A</t>
  </si>
  <si>
    <t>T55-L714</t>
  </si>
  <si>
    <t>T55-GA-714A</t>
  </si>
  <si>
    <t>Safran</t>
  </si>
  <si>
    <t>Ardiden 3G</t>
  </si>
  <si>
    <t>SFC [kg/h]</t>
  </si>
  <si>
    <t>MTR390-E</t>
  </si>
  <si>
    <t>Makila 1A2</t>
  </si>
  <si>
    <t>Makila 1A1</t>
  </si>
  <si>
    <t>RTM 322</t>
  </si>
  <si>
    <t>2C</t>
  </si>
  <si>
    <t>2B</t>
  </si>
  <si>
    <t>1S1</t>
  </si>
  <si>
    <t>Hover</t>
  </si>
  <si>
    <t>Cruise</t>
  </si>
  <si>
    <t>Structures</t>
  </si>
  <si>
    <t>Stability &amp; Control</t>
  </si>
  <si>
    <t>Cost</t>
  </si>
  <si>
    <t>Sustainability</t>
  </si>
  <si>
    <t>Risk</t>
  </si>
  <si>
    <t>Pressure Ratio</t>
  </si>
  <si>
    <t xml:space="preserve">Density Ratio </t>
  </si>
  <si>
    <t>Speed of Sound</t>
  </si>
  <si>
    <t>http://up.farsscript.ir/uploads/13316846411.pdf</t>
  </si>
  <si>
    <t>GE gas turbine performance characteristics</t>
  </si>
  <si>
    <t>Temperature Ratio</t>
  </si>
  <si>
    <t>Gas turbine performance at varying ambient temperature</t>
  </si>
  <si>
    <t>https://www.sciencedirect.com/science/article/pii/S1359431111002468</t>
  </si>
  <si>
    <t>Power to Weight [kW/kg]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</si>
</sst>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9"/>
      <color rgb="FF333333"/>
      <name val="Arial"/>
      <family val="2"/>
    </font>
    <font>
      <sz val="12"/>
      <color rgb="FFFFC000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2"/>
      <color theme="1"/>
      <name val="Calibri (Body)_x0000_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222222"/>
      <name val="Arial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4" fillId="0" borderId="0" xfId="1"/>
    <xf numFmtId="0" fontId="12" fillId="0" borderId="0" xfId="0" applyFont="1"/>
    <xf numFmtId="0" fontId="13" fillId="0" borderId="0" xfId="0" applyFont="1"/>
    <xf numFmtId="0" fontId="1" fillId="5" borderId="0" xfId="0" applyFont="1" applyFill="1"/>
    <xf numFmtId="0" fontId="0" fillId="5" borderId="0" xfId="0" applyFill="1"/>
    <xf numFmtId="2" fontId="0" fillId="0" borderId="0" xfId="0" applyNumberFormat="1"/>
    <xf numFmtId="164" fontId="0" fillId="0" borderId="0" xfId="0" applyNumberFormat="1"/>
    <xf numFmtId="0" fontId="15" fillId="0" borderId="0" xfId="0" applyFont="1"/>
    <xf numFmtId="0" fontId="0" fillId="6" borderId="0" xfId="0" applyFill="1"/>
    <xf numFmtId="0" fontId="0" fillId="0" borderId="0" xfId="0" applyFill="1"/>
    <xf numFmtId="0" fontId="14" fillId="6" borderId="0" xfId="1" applyFill="1"/>
    <xf numFmtId="0" fontId="16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405184</xdr:colOff>
      <xdr:row>0</xdr:row>
      <xdr:rowOff>188604</xdr:rowOff>
    </xdr:from>
    <xdr:to>
      <xdr:col>28</xdr:col>
      <xdr:colOff>685301</xdr:colOff>
      <xdr:row>7</xdr:row>
      <xdr:rowOff>196474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EA636E-2BAB-AF48-8BCB-9A7B34172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28544" y="188604"/>
          <a:ext cx="4394916" cy="1430270"/>
        </a:xfrm>
        <a:prstGeom prst="rect">
          <a:avLst/>
        </a:prstGeom>
      </xdr:spPr>
    </xdr:pic>
    <xdr:clientData/>
  </xdr:twoCellAnchor>
  <xdr:twoCellAnchor editAs="oneCell">
    <xdr:from>
      <xdr:col>23</xdr:col>
      <xdr:colOff>789761</xdr:colOff>
      <xdr:row>9</xdr:row>
      <xdr:rowOff>30122</xdr:rowOff>
    </xdr:from>
    <xdr:to>
      <xdr:col>26</xdr:col>
      <xdr:colOff>429511</xdr:colOff>
      <xdr:row>15</xdr:row>
      <xdr:rowOff>152293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99121C-842D-7849-AB84-111F433FB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13121" y="1858922"/>
          <a:ext cx="2108629" cy="1341371"/>
        </a:xfrm>
        <a:prstGeom prst="rect">
          <a:avLst/>
        </a:prstGeom>
      </xdr:spPr>
    </xdr:pic>
    <xdr:clientData/>
  </xdr:twoCellAnchor>
  <xdr:twoCellAnchor editAs="oneCell">
    <xdr:from>
      <xdr:col>29</xdr:col>
      <xdr:colOff>144386</xdr:colOff>
      <xdr:row>1</xdr:row>
      <xdr:rowOff>77106</xdr:rowOff>
    </xdr:from>
    <xdr:to>
      <xdr:col>33</xdr:col>
      <xdr:colOff>78919</xdr:colOff>
      <xdr:row>7</xdr:row>
      <xdr:rowOff>125581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1D619D-5A3A-C543-8C66-87F99D52B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71453" y="280306"/>
          <a:ext cx="3253465" cy="1267675"/>
        </a:xfrm>
        <a:prstGeom prst="rect">
          <a:avLst/>
        </a:prstGeom>
      </xdr:spPr>
    </xdr:pic>
    <xdr:clientData/>
  </xdr:twoCellAnchor>
  <xdr:twoCellAnchor editAs="oneCell">
    <xdr:from>
      <xdr:col>28</xdr:col>
      <xdr:colOff>732642</xdr:colOff>
      <xdr:row>8</xdr:row>
      <xdr:rowOff>23444</xdr:rowOff>
    </xdr:from>
    <xdr:to>
      <xdr:col>32</xdr:col>
      <xdr:colOff>705272</xdr:colOff>
      <xdr:row>15</xdr:row>
      <xdr:rowOff>82114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2A9A8B-6656-374C-9D3C-D8D4C8526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29975" y="1649044"/>
          <a:ext cx="3291565" cy="1481070"/>
        </a:xfrm>
        <a:prstGeom prst="rect">
          <a:avLst/>
        </a:prstGeom>
      </xdr:spPr>
    </xdr:pic>
    <xdr:clientData/>
  </xdr:twoCellAnchor>
  <xdr:twoCellAnchor editAs="oneCell">
    <xdr:from>
      <xdr:col>16</xdr:col>
      <xdr:colOff>680220</xdr:colOff>
      <xdr:row>14</xdr:row>
      <xdr:rowOff>130401</xdr:rowOff>
    </xdr:from>
    <xdr:to>
      <xdr:col>19</xdr:col>
      <xdr:colOff>184845</xdr:colOff>
      <xdr:row>19</xdr:row>
      <xdr:rowOff>51026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DF942CD-5960-CD4F-A4AB-CFAFEAC4B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90666" y="2987901"/>
          <a:ext cx="1987928" cy="941161"/>
        </a:xfrm>
        <a:prstGeom prst="rect">
          <a:avLst/>
        </a:prstGeom>
      </xdr:spPr>
    </xdr:pic>
    <xdr:clientData/>
  </xdr:twoCellAnchor>
  <xdr:twoCellAnchor editAs="oneCell">
    <xdr:from>
      <xdr:col>14</xdr:col>
      <xdr:colOff>606427</xdr:colOff>
      <xdr:row>8</xdr:row>
      <xdr:rowOff>39687</xdr:rowOff>
    </xdr:from>
    <xdr:to>
      <xdr:col>20</xdr:col>
      <xdr:colOff>476251</xdr:colOff>
      <xdr:row>13</xdr:row>
      <xdr:rowOff>25322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43861F-CDF8-B642-A7BD-2132888E6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32208" y="1627187"/>
          <a:ext cx="4850606" cy="977823"/>
        </a:xfrm>
        <a:prstGeom prst="rect">
          <a:avLst/>
        </a:prstGeom>
      </xdr:spPr>
    </xdr:pic>
    <xdr:clientData/>
  </xdr:twoCellAnchor>
  <xdr:twoCellAnchor editAs="oneCell">
    <xdr:from>
      <xdr:col>15</xdr:col>
      <xdr:colOff>38577</xdr:colOff>
      <xdr:row>1</xdr:row>
      <xdr:rowOff>59531</xdr:rowOff>
    </xdr:from>
    <xdr:to>
      <xdr:col>20</xdr:col>
      <xdr:colOff>305223</xdr:colOff>
      <xdr:row>6</xdr:row>
      <xdr:rowOff>79376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BA03BC-2A19-0746-807E-A907B5D6D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77952" y="257969"/>
          <a:ext cx="4433835" cy="1012032"/>
        </a:xfrm>
        <a:prstGeom prst="rect">
          <a:avLst/>
        </a:prstGeom>
      </xdr:spPr>
    </xdr:pic>
    <xdr:clientData/>
  </xdr:twoCellAnchor>
  <xdr:twoCellAnchor editAs="oneCell">
    <xdr:from>
      <xdr:col>19</xdr:col>
      <xdr:colOff>464910</xdr:colOff>
      <xdr:row>17</xdr:row>
      <xdr:rowOff>90715</xdr:rowOff>
    </xdr:from>
    <xdr:to>
      <xdr:col>23</xdr:col>
      <xdr:colOff>201838</xdr:colOff>
      <xdr:row>23</xdr:row>
      <xdr:rowOff>136072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2747D3-DD8B-E94D-A2C1-BE24928E2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958660" y="3560536"/>
          <a:ext cx="3048000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767481</xdr:colOff>
      <xdr:row>30</xdr:row>
      <xdr:rowOff>8019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6B641-93C8-8044-9ADE-DF19612A1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78992" cy="6038235"/>
        </a:xfrm>
        <a:prstGeom prst="rect">
          <a:avLst/>
        </a:prstGeom>
      </xdr:spPr>
    </xdr:pic>
    <xdr:clientData/>
  </xdr:twoCellAnchor>
  <xdr:twoCellAnchor editAs="oneCell">
    <xdr:from>
      <xdr:col>6</xdr:col>
      <xdr:colOff>411151</xdr:colOff>
      <xdr:row>0</xdr:row>
      <xdr:rowOff>155324</xdr:rowOff>
    </xdr:from>
    <xdr:to>
      <xdr:col>12</xdr:col>
      <xdr:colOff>450645</xdr:colOff>
      <xdr:row>17</xdr:row>
      <xdr:rowOff>84952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7EE49F-15DB-F246-A61B-542EC40C2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7280" y="155324"/>
          <a:ext cx="4955623" cy="3411886"/>
        </a:xfrm>
        <a:prstGeom prst="rect">
          <a:avLst/>
        </a:prstGeom>
      </xdr:spPr>
    </xdr:pic>
    <xdr:clientData/>
  </xdr:twoCellAnchor>
  <xdr:twoCellAnchor editAs="oneCell">
    <xdr:from>
      <xdr:col>6</xdr:col>
      <xdr:colOff>409677</xdr:colOff>
      <xdr:row>17</xdr:row>
      <xdr:rowOff>184355</xdr:rowOff>
    </xdr:from>
    <xdr:to>
      <xdr:col>12</xdr:col>
      <xdr:colOff>430161</xdr:colOff>
      <xdr:row>34</xdr:row>
      <xdr:rowOff>156693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995462-71BE-734E-81AC-2EF167F85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25806" y="3666613"/>
          <a:ext cx="4936613" cy="3454596"/>
        </a:xfrm>
        <a:prstGeom prst="rect">
          <a:avLst/>
        </a:prstGeom>
      </xdr:spPr>
    </xdr:pic>
    <xdr:clientData/>
  </xdr:twoCellAnchor>
  <xdr:twoCellAnchor editAs="oneCell">
    <xdr:from>
      <xdr:col>1</xdr:col>
      <xdr:colOff>168741</xdr:colOff>
      <xdr:row>36</xdr:row>
      <xdr:rowOff>44407</xdr:rowOff>
    </xdr:from>
    <xdr:to>
      <xdr:col>7</xdr:col>
      <xdr:colOff>172701</xdr:colOff>
      <xdr:row>55</xdr:row>
      <xdr:rowOff>26644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7DB4A1E-C466-ED4D-8DB7-A3344FD68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4685" y="7397973"/>
          <a:ext cx="4959624" cy="3863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up.farsscript.ir/uploads/13316846411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onardocompany.com/documents/63265270/69072454/body_AW109_Law_Enforcement.pdf" TargetMode="External"/><Relationship Id="rId13" Type="http://schemas.openxmlformats.org/officeDocument/2006/relationships/hyperlink" Target="http://www.flugzeuginfo.net/acdata_php/acdata_ch47_dt.php" TargetMode="External"/><Relationship Id="rId18" Type="http://schemas.openxmlformats.org/officeDocument/2006/relationships/hyperlink" Target="https://www.bjtonline.com/aircraft/bell-206lt" TargetMode="External"/><Relationship Id="rId3" Type="http://schemas.openxmlformats.org/officeDocument/2006/relationships/hyperlink" Target="https://www.aircraftcompare.com/helicopter-airplane/Bell-206/208" TargetMode="External"/><Relationship Id="rId21" Type="http://schemas.openxmlformats.org/officeDocument/2006/relationships/hyperlink" Target="https://www.bjtonline.com/aircraft/bell-230" TargetMode="External"/><Relationship Id="rId7" Type="http://schemas.openxmlformats.org/officeDocument/2006/relationships/hyperlink" Target="https://ipfs.io/ipfs/QmXoypizjW3WknFiJnKLwHCnL72vedxjQkDDP1mXWo6uco/wiki/A%C3%A9rospatiale_SA_360_Dauphin.html" TargetMode="External"/><Relationship Id="rId12" Type="http://schemas.openxmlformats.org/officeDocument/2006/relationships/hyperlink" Target="https://www.aircraftcompare.com/helicopter-airplane/Sikorsky-S-70i-Black-Hawk/234" TargetMode="External"/><Relationship Id="rId17" Type="http://schemas.openxmlformats.org/officeDocument/2006/relationships/hyperlink" Target="http://www.flugzeuginfo.net/acdata_php/acdata_k600_en.php" TargetMode="External"/><Relationship Id="rId2" Type="http://schemas.openxmlformats.org/officeDocument/2006/relationships/hyperlink" Target="http://www.flugzeuginfo.net/acdata_php/acdata_ka26_en.php" TargetMode="External"/><Relationship Id="rId16" Type="http://schemas.openxmlformats.org/officeDocument/2006/relationships/hyperlink" Target="https://www.aircraftcompare.com/helicopter-airplane/Kaman-K-Max/426" TargetMode="External"/><Relationship Id="rId20" Type="http://schemas.openxmlformats.org/officeDocument/2006/relationships/hyperlink" Target="https://www.bjtonline.com/aircraft/bell-212" TargetMode="External"/><Relationship Id="rId1" Type="http://schemas.openxmlformats.org/officeDocument/2006/relationships/hyperlink" Target="https://www.militaryfactory.com/aircraft/detail.asp?aircraft_id=1074" TargetMode="External"/><Relationship Id="rId6" Type="http://schemas.openxmlformats.org/officeDocument/2006/relationships/hyperlink" Target="https://www.airbushelicoptersinc.com/products/H135-specifications.asp" TargetMode="External"/><Relationship Id="rId11" Type="http://schemas.openxmlformats.org/officeDocument/2006/relationships/hyperlink" Target="https://www.aircraftcompare.com/helicopter-airplane/HAL-Dhruv-ALH/276" TargetMode="External"/><Relationship Id="rId24" Type="http://schemas.openxmlformats.org/officeDocument/2006/relationships/hyperlink" Target="https://www.bjtonline.com/aircraft/leonardo-helicopters-aw119-kx" TargetMode="External"/><Relationship Id="rId5" Type="http://schemas.openxmlformats.org/officeDocument/2006/relationships/hyperlink" Target="http://www.flugzeuginfo.net/acdata_php/acdata_a109_en.php" TargetMode="External"/><Relationship Id="rId15" Type="http://schemas.openxmlformats.org/officeDocument/2006/relationships/hyperlink" Target="http://www.flugzeuginfo.net/acdata_php/acdata_retriever_dt.php" TargetMode="External"/><Relationship Id="rId23" Type="http://schemas.openxmlformats.org/officeDocument/2006/relationships/hyperlink" Target="https://www.bjtonline.com/aircraft/airbus-helicopters-as355np-twinstar" TargetMode="External"/><Relationship Id="rId10" Type="http://schemas.openxmlformats.org/officeDocument/2006/relationships/hyperlink" Target="https://www.bjtonline.com/aircraft/bell-uh-1h" TargetMode="External"/><Relationship Id="rId19" Type="http://schemas.openxmlformats.org/officeDocument/2006/relationships/hyperlink" Target="https://www.bjtonline.com/aircraft/bell-206br" TargetMode="External"/><Relationship Id="rId4" Type="http://schemas.openxmlformats.org/officeDocument/2006/relationships/hyperlink" Target="https://www.aircraftcompare.com/aircraft-specification/Eurocopter-AS365-Dauphin/224/spec" TargetMode="External"/><Relationship Id="rId9" Type="http://schemas.openxmlformats.org/officeDocument/2006/relationships/hyperlink" Target="https://www.aircraftcompare.com/aircraft-specification/Eurocopter-AS355/229/spec" TargetMode="External"/><Relationship Id="rId14" Type="http://schemas.openxmlformats.org/officeDocument/2006/relationships/hyperlink" Target="http://www.flugzeuginfo.net/acdata_php/acdata_h21_en.php" TargetMode="External"/><Relationship Id="rId22" Type="http://schemas.openxmlformats.org/officeDocument/2006/relationships/hyperlink" Target="https://www.bjtonline.com/aircraft/bell-407-gx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"/>
  <sheetViews>
    <sheetView topLeftCell="A33" zoomScale="135" zoomScaleNormal="86" workbookViewId="0">
      <selection activeCell="I49" sqref="I49"/>
    </sheetView>
  </sheetViews>
  <sheetFormatPr defaultColWidth="11" defaultRowHeight="15.75"/>
  <cols>
    <col min="2" max="3" width="10.875" customWidth="1"/>
    <col min="6" max="6" width="14.375" bestFit="1" customWidth="1"/>
    <col min="10" max="10" width="14.125" bestFit="1" customWidth="1"/>
    <col min="11" max="11" width="13" bestFit="1" customWidth="1"/>
    <col min="15" max="15" width="10.625" customWidth="1"/>
    <col min="20" max="20" width="10.875" customWidth="1"/>
  </cols>
  <sheetData>
    <row r="1" spans="4:13">
      <c r="D1" s="2" t="s">
        <v>5</v>
      </c>
      <c r="E1" s="1"/>
      <c r="F1" s="1"/>
      <c r="G1" s="1"/>
      <c r="H1" s="1"/>
    </row>
    <row r="2" spans="4:13">
      <c r="D2" s="1"/>
      <c r="E2" s="1"/>
      <c r="F2" s="1"/>
      <c r="G2" s="1"/>
      <c r="H2" s="1"/>
    </row>
    <row r="3" spans="4:13" s="5" customFormat="1">
      <c r="D3" s="5" t="s">
        <v>38</v>
      </c>
      <c r="F3" s="5" t="s">
        <v>41</v>
      </c>
      <c r="H3" s="5" t="s">
        <v>45</v>
      </c>
      <c r="K3"/>
    </row>
    <row r="4" spans="4:13">
      <c r="D4">
        <f>D5*9.81</f>
        <v>13734</v>
      </c>
      <c r="E4" t="s">
        <v>10</v>
      </c>
      <c r="F4">
        <f>F5*9.81</f>
        <v>5640.75</v>
      </c>
      <c r="G4" t="s">
        <v>10</v>
      </c>
      <c r="I4" t="s">
        <v>10</v>
      </c>
    </row>
    <row r="5" spans="4:13">
      <c r="D5">
        <v>1400</v>
      </c>
      <c r="E5" t="s">
        <v>9</v>
      </c>
      <c r="F5">
        <v>575</v>
      </c>
      <c r="G5" t="s">
        <v>9</v>
      </c>
      <c r="I5" t="s">
        <v>9</v>
      </c>
    </row>
    <row r="7" spans="4:13">
      <c r="D7" s="4" t="s">
        <v>6</v>
      </c>
      <c r="E7" s="3"/>
      <c r="F7" s="3"/>
      <c r="G7" s="3"/>
      <c r="H7" s="3"/>
      <c r="I7" s="3"/>
      <c r="M7" s="26" t="s">
        <v>247</v>
      </c>
    </row>
    <row r="8" spans="4:13">
      <c r="D8" s="3"/>
      <c r="E8" s="3"/>
      <c r="F8" s="3"/>
      <c r="G8" s="3"/>
      <c r="H8" s="3"/>
      <c r="I8" s="3"/>
      <c r="M8" s="26" t="s">
        <v>248</v>
      </c>
    </row>
    <row r="9" spans="4:13" s="5" customFormat="1">
      <c r="D9" s="5" t="s">
        <v>1</v>
      </c>
      <c r="E9" s="5" t="s">
        <v>2</v>
      </c>
      <c r="F9" s="5" t="s">
        <v>3</v>
      </c>
      <c r="G9" s="5" t="s">
        <v>13</v>
      </c>
      <c r="H9" s="5" t="s">
        <v>4</v>
      </c>
      <c r="I9" s="5" t="s">
        <v>0</v>
      </c>
      <c r="J9" s="5" t="s">
        <v>243</v>
      </c>
      <c r="K9" s="5" t="s">
        <v>241</v>
      </c>
      <c r="L9" s="5" t="s">
        <v>242</v>
      </c>
      <c r="M9" s="5" t="s">
        <v>246</v>
      </c>
    </row>
    <row r="10" spans="4:13">
      <c r="D10">
        <v>0</v>
      </c>
      <c r="E10">
        <v>288.14999999999998</v>
      </c>
      <c r="F10">
        <f>E10-273.15</f>
        <v>15</v>
      </c>
      <c r="G10">
        <f>SQRT(1.4*E10*287)</f>
        <v>340.26264855255562</v>
      </c>
      <c r="H10">
        <v>101325</v>
      </c>
      <c r="I10">
        <f t="shared" ref="I10:I19" si="0">H10/(287*E10)</f>
        <v>1.2252256827617731</v>
      </c>
      <c r="J10" s="27">
        <f t="shared" ref="J10:J18" si="1">SQRT(1.4*287*E10)</f>
        <v>340.26264855255562</v>
      </c>
      <c r="K10" s="27">
        <f>H10/$H$10</f>
        <v>1</v>
      </c>
      <c r="L10">
        <f>I10/$I$10</f>
        <v>1</v>
      </c>
      <c r="M10">
        <f>1+($E$10-E10)*0.001</f>
        <v>1</v>
      </c>
    </row>
    <row r="11" spans="4:13">
      <c r="D11">
        <v>1200</v>
      </c>
      <c r="E11">
        <f t="shared" ref="E11:E19" si="2">$E$10-6.5*D11/1000</f>
        <v>280.34999999999997</v>
      </c>
      <c r="F11">
        <f t="shared" ref="F11:F19" si="3">E11-273.15</f>
        <v>7.1999999999999886</v>
      </c>
      <c r="G11">
        <f t="shared" ref="G11:G19" si="4">SQRT(1.4*E11*287)</f>
        <v>335.62572904948746</v>
      </c>
      <c r="H11">
        <f t="shared" ref="H11:H19" si="5">$H$10*((1-0.0065*(D11/$E$10))^5.2561)</f>
        <v>87715.042662182736</v>
      </c>
      <c r="I11">
        <f t="shared" si="0"/>
        <v>1.090163461205881</v>
      </c>
      <c r="J11" s="27">
        <f t="shared" si="1"/>
        <v>335.62572904948746</v>
      </c>
      <c r="K11" s="27">
        <f t="shared" ref="K11:K19" si="6">H11/$H$10</f>
        <v>0.86568016444295814</v>
      </c>
      <c r="L11">
        <f t="shared" ref="L11:L20" si="7">I11/$I$10</f>
        <v>0.88976543386566198</v>
      </c>
      <c r="M11">
        <f>1+($E$10-E11)*0.001</f>
        <v>1.0078</v>
      </c>
    </row>
    <row r="12" spans="4:13">
      <c r="D12">
        <v>1800</v>
      </c>
      <c r="E12">
        <f t="shared" si="2"/>
        <v>276.45</v>
      </c>
      <c r="F12">
        <f t="shared" si="3"/>
        <v>3.3000000000000114</v>
      </c>
      <c r="G12">
        <f t="shared" si="4"/>
        <v>333.28307787825048</v>
      </c>
      <c r="H12">
        <f t="shared" si="5"/>
        <v>81488.466377748264</v>
      </c>
      <c r="I12">
        <f t="shared" si="0"/>
        <v>1.0270643465307507</v>
      </c>
      <c r="J12" s="27">
        <f t="shared" si="1"/>
        <v>333.28307787825048</v>
      </c>
      <c r="K12" s="27">
        <f t="shared" si="6"/>
        <v>0.80422863437205294</v>
      </c>
      <c r="L12">
        <f t="shared" si="7"/>
        <v>0.83826544038454354</v>
      </c>
      <c r="M12">
        <f t="shared" ref="M12:M20" si="8">1+($E$10-E12)*0.001</f>
        <v>1.0117</v>
      </c>
    </row>
    <row r="13" spans="4:13">
      <c r="D13">
        <v>3000</v>
      </c>
      <c r="E13">
        <f t="shared" si="2"/>
        <v>268.64999999999998</v>
      </c>
      <c r="F13">
        <f t="shared" si="3"/>
        <v>-4.5</v>
      </c>
      <c r="G13">
        <f t="shared" si="4"/>
        <v>328.54766777440375</v>
      </c>
      <c r="H13">
        <f t="shared" si="5"/>
        <v>70107.444806215542</v>
      </c>
      <c r="I13">
        <f t="shared" si="0"/>
        <v>0.90927530679874469</v>
      </c>
      <c r="J13" s="27">
        <f t="shared" si="1"/>
        <v>328.54766777440375</v>
      </c>
      <c r="K13" s="27">
        <f t="shared" si="6"/>
        <v>0.69190668449262815</v>
      </c>
      <c r="L13">
        <f t="shared" si="7"/>
        <v>0.74212883356244475</v>
      </c>
      <c r="M13">
        <f t="shared" si="8"/>
        <v>1.0195000000000001</v>
      </c>
    </row>
    <row r="14" spans="4:13">
      <c r="D14">
        <v>4000</v>
      </c>
      <c r="E14">
        <f t="shared" si="2"/>
        <v>262.14999999999998</v>
      </c>
      <c r="F14">
        <f t="shared" si="3"/>
        <v>-11</v>
      </c>
      <c r="G14">
        <f t="shared" si="4"/>
        <v>324.54871745240342</v>
      </c>
      <c r="H14">
        <f t="shared" si="5"/>
        <v>61638.930289039497</v>
      </c>
      <c r="I14">
        <f t="shared" si="0"/>
        <v>0.81926298664075092</v>
      </c>
      <c r="J14" s="27">
        <f t="shared" si="1"/>
        <v>324.54871745240342</v>
      </c>
      <c r="K14" s="27">
        <f t="shared" si="6"/>
        <v>0.60832894437739449</v>
      </c>
      <c r="L14">
        <f t="shared" si="7"/>
        <v>0.66866292322085152</v>
      </c>
      <c r="M14">
        <f t="shared" si="8"/>
        <v>1.026</v>
      </c>
    </row>
    <row r="15" spans="4:13">
      <c r="D15">
        <v>5000</v>
      </c>
      <c r="E15">
        <f t="shared" si="2"/>
        <v>255.64999999999998</v>
      </c>
      <c r="F15">
        <f t="shared" si="3"/>
        <v>-17.5</v>
      </c>
      <c r="G15">
        <f t="shared" si="4"/>
        <v>320.49987519498347</v>
      </c>
      <c r="H15">
        <f t="shared" si="5"/>
        <v>54018.464770910563</v>
      </c>
      <c r="I15">
        <f t="shared" si="0"/>
        <v>0.73623175155643528</v>
      </c>
      <c r="J15" s="27">
        <f t="shared" si="1"/>
        <v>320.49987519498347</v>
      </c>
      <c r="K15" s="27">
        <f t="shared" si="6"/>
        <v>0.53312079714690908</v>
      </c>
      <c r="L15">
        <f t="shared" si="7"/>
        <v>0.60089480812783824</v>
      </c>
      <c r="M15">
        <f t="shared" si="8"/>
        <v>1.0325</v>
      </c>
    </row>
    <row r="16" spans="4:13">
      <c r="D16">
        <v>6000</v>
      </c>
      <c r="E16">
        <f t="shared" si="2"/>
        <v>249.14999999999998</v>
      </c>
      <c r="F16">
        <f t="shared" si="3"/>
        <v>-24</v>
      </c>
      <c r="G16">
        <f t="shared" si="4"/>
        <v>316.39922566276925</v>
      </c>
      <c r="H16">
        <f t="shared" si="5"/>
        <v>47179.491428076413</v>
      </c>
      <c r="I16">
        <f t="shared" si="0"/>
        <v>0.65979719797242919</v>
      </c>
      <c r="J16" s="27">
        <f t="shared" si="1"/>
        <v>316.39922566276925</v>
      </c>
      <c r="K16" s="27">
        <f t="shared" si="6"/>
        <v>0.46562537802197301</v>
      </c>
      <c r="L16">
        <f t="shared" si="7"/>
        <v>0.5385107472487719</v>
      </c>
      <c r="M16">
        <f t="shared" si="8"/>
        <v>1.0389999999999999</v>
      </c>
    </row>
    <row r="17" spans="1:25">
      <c r="D17">
        <v>7000</v>
      </c>
      <c r="E17">
        <f t="shared" si="2"/>
        <v>242.64999999999998</v>
      </c>
      <c r="F17">
        <f t="shared" si="3"/>
        <v>-30.5</v>
      </c>
      <c r="G17">
        <f t="shared" si="4"/>
        <v>312.24472773771532</v>
      </c>
      <c r="H17">
        <f t="shared" si="5"/>
        <v>41059.16330985626</v>
      </c>
      <c r="I17">
        <f t="shared" si="0"/>
        <v>0.58958700512641371</v>
      </c>
      <c r="J17" s="27">
        <f t="shared" si="1"/>
        <v>312.24472773771532</v>
      </c>
      <c r="K17" s="27">
        <f t="shared" si="6"/>
        <v>0.405222435823896</v>
      </c>
      <c r="L17">
        <f t="shared" si="7"/>
        <v>0.48120686125141415</v>
      </c>
      <c r="M17">
        <f t="shared" si="8"/>
        <v>1.0455000000000001</v>
      </c>
    </row>
    <row r="18" spans="1:25">
      <c r="D18">
        <v>8000</v>
      </c>
      <c r="E18">
        <f t="shared" si="2"/>
        <v>236.14999999999998</v>
      </c>
      <c r="F18">
        <f t="shared" si="3"/>
        <v>-37</v>
      </c>
      <c r="G18">
        <f t="shared" si="4"/>
        <v>308.03420264639442</v>
      </c>
      <c r="H18">
        <f t="shared" si="5"/>
        <v>35598.22525184667</v>
      </c>
      <c r="I18">
        <f t="shared" si="0"/>
        <v>0.52524085562233702</v>
      </c>
      <c r="J18" s="27">
        <f t="shared" si="1"/>
        <v>308.03420264639442</v>
      </c>
      <c r="K18" s="27">
        <f t="shared" si="6"/>
        <v>0.35132716754844973</v>
      </c>
      <c r="L18">
        <f t="shared" si="7"/>
        <v>0.42868906766498321</v>
      </c>
      <c r="M18">
        <f t="shared" si="8"/>
        <v>1.052</v>
      </c>
    </row>
    <row r="19" spans="1:25">
      <c r="D19" s="6">
        <v>8950</v>
      </c>
      <c r="E19" s="6">
        <f t="shared" si="2"/>
        <v>229.97499999999997</v>
      </c>
      <c r="F19" s="6">
        <f t="shared" si="3"/>
        <v>-43.175000000000011</v>
      </c>
      <c r="G19" s="6">
        <f t="shared" si="4"/>
        <v>303.98018849918486</v>
      </c>
      <c r="H19" s="6">
        <f t="shared" si="5"/>
        <v>30970.249892424166</v>
      </c>
      <c r="I19" s="6">
        <f t="shared" si="0"/>
        <v>0.46922612619117693</v>
      </c>
      <c r="J19" s="6">
        <f>SQRT(1.4*287*E19)</f>
        <v>303.98018849918486</v>
      </c>
      <c r="K19" s="27">
        <f t="shared" si="6"/>
        <v>0.30565260194842503</v>
      </c>
      <c r="L19">
        <f t="shared" si="7"/>
        <v>0.38297118056936041</v>
      </c>
      <c r="M19">
        <f t="shared" si="8"/>
        <v>1.0581750000000001</v>
      </c>
    </row>
    <row r="20" spans="1:25">
      <c r="D20" s="6">
        <v>9000</v>
      </c>
      <c r="E20" s="6">
        <f t="shared" ref="E20" si="9">$E$10-6.5*D20/1000</f>
        <v>229.64999999999998</v>
      </c>
      <c r="F20" s="6">
        <f t="shared" ref="F20" si="10">E20-273.15</f>
        <v>-43.5</v>
      </c>
      <c r="G20" s="6">
        <f t="shared" ref="G20" si="11">SQRT(1.4*E20*287)</f>
        <v>303.76532060128255</v>
      </c>
      <c r="H20" s="6">
        <f t="shared" ref="H20" si="12">$H$10*((1-0.0065*(D20/$E$10))^5.2561)</f>
        <v>30740.896575683029</v>
      </c>
      <c r="I20" s="6">
        <f t="shared" ref="I20" si="13">H20/(287*E20)</f>
        <v>0.46641035442789452</v>
      </c>
      <c r="J20" s="6">
        <f>SQRT(1.4*287*E20)</f>
        <v>303.76532060128255</v>
      </c>
      <c r="K20" s="27">
        <f>H20/$H$10</f>
        <v>0.30338906070252186</v>
      </c>
      <c r="L20">
        <f t="shared" si="7"/>
        <v>0.38067301476782794</v>
      </c>
      <c r="M20">
        <f t="shared" si="8"/>
        <v>1.0585</v>
      </c>
      <c r="O20">
        <v>1</v>
      </c>
      <c r="P20">
        <f>O20/L20/M20</f>
        <v>2.4817443744253809</v>
      </c>
    </row>
    <row r="21" spans="1:25">
      <c r="I21">
        <f>I19/I20*100</f>
        <v>100.60371124623428</v>
      </c>
      <c r="J21">
        <f>J19/J20*100</f>
        <v>100.07073483486428</v>
      </c>
      <c r="L21" s="26" t="s">
        <v>244</v>
      </c>
    </row>
    <row r="22" spans="1:25">
      <c r="L22" s="28" t="s">
        <v>245</v>
      </c>
    </row>
    <row r="25" spans="1:25" s="1" customFormat="1">
      <c r="A25" s="3"/>
      <c r="B25" s="3"/>
      <c r="D25" s="2" t="s">
        <v>17</v>
      </c>
    </row>
    <row r="26" spans="1:25" s="1" customFormat="1">
      <c r="A26" s="13" t="s">
        <v>44</v>
      </c>
      <c r="B26" s="3"/>
      <c r="D26" s="1" t="s">
        <v>20</v>
      </c>
      <c r="I26" s="1" t="s">
        <v>33</v>
      </c>
      <c r="N26" s="2" t="s">
        <v>51</v>
      </c>
      <c r="O26" s="2" t="s">
        <v>50</v>
      </c>
      <c r="P26" s="2"/>
      <c r="T26" s="11" t="s">
        <v>42</v>
      </c>
      <c r="V26" s="11" t="s">
        <v>42</v>
      </c>
    </row>
    <row r="27" spans="1:25">
      <c r="A27" s="5" t="s">
        <v>40</v>
      </c>
      <c r="B27" s="5" t="s">
        <v>48</v>
      </c>
      <c r="C27" s="5" t="s">
        <v>38</v>
      </c>
      <c r="D27" s="5" t="s">
        <v>39</v>
      </c>
      <c r="E27" s="5"/>
      <c r="F27" s="5" t="s">
        <v>16</v>
      </c>
      <c r="G27" s="5"/>
      <c r="H27" s="5" t="s">
        <v>11</v>
      </c>
      <c r="I27" s="5"/>
      <c r="J27" s="5" t="s">
        <v>18</v>
      </c>
      <c r="L27" s="5" t="s">
        <v>46</v>
      </c>
      <c r="N27" s="5" t="s">
        <v>26</v>
      </c>
      <c r="P27" s="5" t="s">
        <v>25</v>
      </c>
      <c r="T27" s="5" t="s">
        <v>25</v>
      </c>
      <c r="X27" s="5"/>
      <c r="Y27" s="5"/>
    </row>
    <row r="28" spans="1:25">
      <c r="A28">
        <f>A29*9.81</f>
        <v>23612.670000000002</v>
      </c>
      <c r="B28">
        <f>B29*9.81</f>
        <v>4237.92</v>
      </c>
      <c r="C28">
        <f>C29*9.81</f>
        <v>22896.54</v>
      </c>
      <c r="D28">
        <f>D29*9.81</f>
        <v>53395.83</v>
      </c>
      <c r="E28" t="s">
        <v>10</v>
      </c>
      <c r="F28">
        <f>PI()*F30^2</f>
        <v>170.4101171670182</v>
      </c>
      <c r="G28" t="s">
        <v>8</v>
      </c>
      <c r="H28">
        <f>D28/F28/2</f>
        <v>156.66860303742115</v>
      </c>
      <c r="I28" t="s">
        <v>12</v>
      </c>
      <c r="J28">
        <v>270</v>
      </c>
      <c r="K28" t="s">
        <v>19</v>
      </c>
      <c r="L28">
        <v>1</v>
      </c>
      <c r="M28" t="s">
        <v>8</v>
      </c>
      <c r="N28">
        <f>(SQRT(2)-((SQRT(2)/2)*(L28/(F30)))+(1-(SQRT(2)/2))*((L28/F30)^2))</f>
        <v>1.3236041226757786</v>
      </c>
      <c r="P28">
        <f>2*N28*((D28/COS(RADIANS(12.5))/2)^(3/2))/(SQRT(2*I10*F28))</f>
        <v>585815.85956117127</v>
      </c>
      <c r="Q28" t="s">
        <v>37</v>
      </c>
      <c r="R28">
        <f>P28/1000</f>
        <v>585.81585956117124</v>
      </c>
      <c r="S28" s="12" t="s">
        <v>43</v>
      </c>
      <c r="T28">
        <f>2*N28*((A28/COS(RADIANS(12.5))/2)^(3/2))/(SQRT(2*I19*F28))</f>
        <v>278377.87295741885</v>
      </c>
      <c r="U28" t="s">
        <v>37</v>
      </c>
      <c r="V28">
        <f>T28/1000</f>
        <v>278.37787295741884</v>
      </c>
      <c r="W28" s="12" t="s">
        <v>43</v>
      </c>
    </row>
    <row r="29" spans="1:25">
      <c r="A29">
        <f>F5+D5+B29</f>
        <v>2407</v>
      </c>
      <c r="B29">
        <v>432</v>
      </c>
      <c r="C29">
        <v>2334</v>
      </c>
      <c r="D29">
        <v>5443</v>
      </c>
      <c r="E29" t="s">
        <v>9</v>
      </c>
      <c r="F29">
        <v>14.73</v>
      </c>
      <c r="G29" t="s">
        <v>47</v>
      </c>
      <c r="H29">
        <f>H28/9.81</f>
        <v>15.970295926342624</v>
      </c>
      <c r="I29" t="s">
        <v>32</v>
      </c>
      <c r="P29" s="5" t="s">
        <v>36</v>
      </c>
      <c r="T29" s="5" t="s">
        <v>36</v>
      </c>
      <c r="V29" s="9"/>
    </row>
    <row r="30" spans="1:25">
      <c r="F30">
        <f>F29/2</f>
        <v>7.3650000000000002</v>
      </c>
      <c r="G30" t="s">
        <v>34</v>
      </c>
      <c r="P30">
        <f>P28/D28</f>
        <v>10.971191187798208</v>
      </c>
      <c r="Q30" t="s">
        <v>35</v>
      </c>
      <c r="T30">
        <f>T28/A28</f>
        <v>11.789343304142175</v>
      </c>
      <c r="U30" t="s">
        <v>35</v>
      </c>
      <c r="V30" s="9"/>
    </row>
    <row r="31" spans="1:25" s="1" customFormat="1">
      <c r="A31" s="3"/>
      <c r="B31" s="3"/>
      <c r="D31" s="2" t="s">
        <v>168</v>
      </c>
    </row>
    <row r="32" spans="1:25" s="1" customFormat="1">
      <c r="A32" s="13" t="s">
        <v>44</v>
      </c>
      <c r="B32" s="3"/>
      <c r="D32" s="1" t="s">
        <v>171</v>
      </c>
      <c r="I32" s="1" t="s">
        <v>33</v>
      </c>
      <c r="N32" s="2" t="s">
        <v>51</v>
      </c>
      <c r="O32" s="2" t="s">
        <v>50</v>
      </c>
      <c r="P32" s="2"/>
      <c r="T32" s="11" t="s">
        <v>42</v>
      </c>
      <c r="V32" s="11" t="s">
        <v>42</v>
      </c>
    </row>
    <row r="33" spans="1:25">
      <c r="A33" s="5" t="s">
        <v>40</v>
      </c>
      <c r="B33" s="5" t="s">
        <v>48</v>
      </c>
      <c r="C33" s="5" t="s">
        <v>38</v>
      </c>
      <c r="D33" s="5" t="s">
        <v>39</v>
      </c>
      <c r="E33" s="5"/>
      <c r="F33" s="5" t="s">
        <v>16</v>
      </c>
      <c r="G33" s="5"/>
      <c r="H33" s="5" t="s">
        <v>11</v>
      </c>
      <c r="I33" s="5"/>
      <c r="J33" s="5" t="s">
        <v>18</v>
      </c>
      <c r="L33" s="5" t="s">
        <v>46</v>
      </c>
      <c r="N33" s="5" t="s">
        <v>26</v>
      </c>
      <c r="P33" s="5" t="s">
        <v>25</v>
      </c>
      <c r="T33" s="5" t="s">
        <v>25</v>
      </c>
      <c r="Y33" s="5"/>
    </row>
    <row r="34" spans="1:25">
      <c r="A34">
        <f>A35*9.81</f>
        <v>23612.670000000002</v>
      </c>
      <c r="B34">
        <f>B35*9.81</f>
        <v>4237.92</v>
      </c>
      <c r="C34">
        <f>C35*9.81</f>
        <v>19767.150000000001</v>
      </c>
      <c r="D34">
        <f>D35*9.81</f>
        <v>41300.1</v>
      </c>
      <c r="E34" t="s">
        <v>10</v>
      </c>
      <c r="F34">
        <f>PI()*F36^2</f>
        <v>161.05563234187289</v>
      </c>
      <c r="G34" t="s">
        <v>8</v>
      </c>
      <c r="H34">
        <f>D34/F34/2</f>
        <v>128.21687574493592</v>
      </c>
      <c r="I34" t="s">
        <v>12</v>
      </c>
      <c r="J34">
        <v>270</v>
      </c>
      <c r="K34" t="s">
        <v>19</v>
      </c>
      <c r="L34">
        <v>1</v>
      </c>
      <c r="M34" t="s">
        <v>8</v>
      </c>
      <c r="N34">
        <f>(SQRT(2)-((SQRT(2)/2)*(L34/(F36)))+(1-(SQRT(2)/2))*((L34/F36)^2))</f>
        <v>1.3211688826174262</v>
      </c>
      <c r="P34">
        <f>2*N34*((D34/COS(RADIANS(12.5))/2)^(3/2))/(SQRT(2*I10*F34))</f>
        <v>409153.92449786566</v>
      </c>
      <c r="Q34" t="s">
        <v>37</v>
      </c>
      <c r="R34">
        <f>P34/1000</f>
        <v>409.15392449786566</v>
      </c>
      <c r="S34" s="12" t="s">
        <v>43</v>
      </c>
      <c r="T34">
        <f>2*N34*((A34/COS(RADIANS(12.5))/2)^(3/2))/(SQRT(2*I19*F34))</f>
        <v>285821.34991937235</v>
      </c>
      <c r="U34" t="s">
        <v>37</v>
      </c>
      <c r="V34">
        <f>T34/1000</f>
        <v>285.82134991937238</v>
      </c>
      <c r="W34" s="12" t="s">
        <v>43</v>
      </c>
    </row>
    <row r="35" spans="1:25">
      <c r="A35">
        <f>F5+D5+B35</f>
        <v>2407</v>
      </c>
      <c r="B35">
        <v>432</v>
      </c>
      <c r="C35">
        <v>2015</v>
      </c>
      <c r="D35">
        <v>4210</v>
      </c>
      <c r="E35" t="s">
        <v>9</v>
      </c>
      <c r="F35">
        <v>14.32</v>
      </c>
      <c r="G35" t="s">
        <v>47</v>
      </c>
      <c r="H35">
        <f>H34/9.81</f>
        <v>13.070017914876241</v>
      </c>
      <c r="I35" t="s">
        <v>32</v>
      </c>
      <c r="P35" s="5" t="s">
        <v>36</v>
      </c>
      <c r="T35" s="5" t="s">
        <v>36</v>
      </c>
      <c r="V35" s="9"/>
    </row>
    <row r="36" spans="1:25">
      <c r="F36">
        <f>F35/2</f>
        <v>7.16</v>
      </c>
      <c r="G36" t="s">
        <v>34</v>
      </c>
      <c r="P36">
        <f>P34/D34</f>
        <v>9.9068506976463908</v>
      </c>
      <c r="Q36" t="s">
        <v>35</v>
      </c>
      <c r="T36">
        <f>T34/A34</f>
        <v>12.104575633309251</v>
      </c>
      <c r="U36" t="s">
        <v>35</v>
      </c>
      <c r="V36" s="9"/>
    </row>
    <row r="37" spans="1:25" s="1" customFormat="1">
      <c r="A37" s="3"/>
      <c r="B37" s="3"/>
      <c r="D37" s="2" t="s">
        <v>31</v>
      </c>
    </row>
    <row r="38" spans="1:25" s="1" customFormat="1">
      <c r="A38" s="13" t="s">
        <v>44</v>
      </c>
      <c r="B38" s="3"/>
      <c r="D38" s="1" t="s">
        <v>22</v>
      </c>
      <c r="K38" s="1" t="s">
        <v>33</v>
      </c>
      <c r="T38" s="11" t="s">
        <v>42</v>
      </c>
      <c r="V38" s="11" t="s">
        <v>42</v>
      </c>
    </row>
    <row r="39" spans="1:25">
      <c r="A39" s="5" t="s">
        <v>40</v>
      </c>
      <c r="B39" s="5" t="s">
        <v>48</v>
      </c>
      <c r="C39" s="5" t="s">
        <v>38</v>
      </c>
      <c r="D39" s="5" t="s">
        <v>39</v>
      </c>
      <c r="E39" s="5"/>
      <c r="F39" s="5" t="s">
        <v>16</v>
      </c>
      <c r="G39" s="5"/>
      <c r="H39" s="5" t="s">
        <v>11</v>
      </c>
      <c r="I39" s="5"/>
      <c r="J39" s="5" t="s">
        <v>18</v>
      </c>
      <c r="L39" s="5" t="s">
        <v>46</v>
      </c>
      <c r="N39" s="5" t="s">
        <v>26</v>
      </c>
      <c r="P39" s="5" t="s">
        <v>25</v>
      </c>
      <c r="T39" s="5" t="s">
        <v>25</v>
      </c>
      <c r="W39" s="9"/>
      <c r="Y39" s="5"/>
    </row>
    <row r="40" spans="1:25">
      <c r="A40">
        <f>A41*9.81</f>
        <v>23612.670000000002</v>
      </c>
      <c r="B40">
        <f>B41*9.81</f>
        <v>4237.92</v>
      </c>
      <c r="C40">
        <f>C41*9.81</f>
        <v>23583.628093410003</v>
      </c>
      <c r="D40">
        <f>D41*9.81</f>
        <v>27121.172307421501</v>
      </c>
      <c r="E40" t="s">
        <v>10</v>
      </c>
      <c r="F40">
        <f>F42^2*PI()</f>
        <v>50.854297626978052</v>
      </c>
      <c r="G40" t="s">
        <v>8</v>
      </c>
      <c r="H40">
        <f>D40/F40/2</f>
        <v>266.65565717137935</v>
      </c>
      <c r="I40" t="s">
        <v>12</v>
      </c>
      <c r="J40">
        <v>446</v>
      </c>
      <c r="K40" t="s">
        <v>19</v>
      </c>
      <c r="L40" t="s">
        <v>28</v>
      </c>
      <c r="N40" t="s">
        <v>28</v>
      </c>
      <c r="P40">
        <f>2*((D40/2)^(3/2))/(SQRT(2*$I$10*F40))</f>
        <v>282918.15358749899</v>
      </c>
      <c r="Q40" t="s">
        <v>35</v>
      </c>
      <c r="R40">
        <f>P40/1000</f>
        <v>282.91815358749898</v>
      </c>
      <c r="S40" s="12" t="s">
        <v>43</v>
      </c>
      <c r="T40">
        <f>2*((A40/2)^(3/2))/(SQRT(2*$I$19*F40))</f>
        <v>371392.15682020521</v>
      </c>
      <c r="U40" t="s">
        <v>37</v>
      </c>
      <c r="V40">
        <f>T40/1000</f>
        <v>371.39215682020523</v>
      </c>
      <c r="W40" s="12" t="s">
        <v>43</v>
      </c>
    </row>
    <row r="41" spans="1:25">
      <c r="A41">
        <f>$F$5+$D$5+B41</f>
        <v>2407</v>
      </c>
      <c r="B41">
        <v>432</v>
      </c>
      <c r="C41">
        <f>C42*0.45359237</f>
        <v>2404.039561</v>
      </c>
      <c r="D41">
        <f>D42*0.45359237</f>
        <v>2764.64549515</v>
      </c>
      <c r="E41" t="s">
        <v>9</v>
      </c>
      <c r="F41">
        <v>13.2</v>
      </c>
      <c r="G41" t="s">
        <v>7</v>
      </c>
      <c r="H41">
        <f>H40/9.81</f>
        <v>27.182024176491268</v>
      </c>
      <c r="I41" t="s">
        <v>32</v>
      </c>
      <c r="P41" s="5" t="s">
        <v>36</v>
      </c>
      <c r="T41" s="5" t="s">
        <v>36</v>
      </c>
      <c r="V41" s="9"/>
      <c r="W41" s="9"/>
    </row>
    <row r="42" spans="1:25">
      <c r="C42">
        <v>5300</v>
      </c>
      <c r="D42">
        <v>6095</v>
      </c>
      <c r="E42" t="s">
        <v>21</v>
      </c>
      <c r="F42">
        <f>F41*0.3048</f>
        <v>4.0233600000000003</v>
      </c>
      <c r="G42" t="s">
        <v>34</v>
      </c>
      <c r="P42">
        <f>P40/D40</f>
        <v>10.431634384406038</v>
      </c>
      <c r="Q42" t="s">
        <v>35</v>
      </c>
      <c r="T42">
        <f>T40/A40</f>
        <v>15.728511719352584</v>
      </c>
      <c r="U42" t="s">
        <v>35</v>
      </c>
      <c r="V42" s="9"/>
    </row>
    <row r="43" spans="1:25" s="1" customFormat="1">
      <c r="A43" s="3"/>
      <c r="B43" s="3"/>
      <c r="D43" s="2" t="s">
        <v>194</v>
      </c>
      <c r="V43" s="10"/>
    </row>
    <row r="44" spans="1:25" s="1" customFormat="1">
      <c r="A44" s="13" t="s">
        <v>44</v>
      </c>
      <c r="B44" s="3"/>
      <c r="D44" s="1" t="s">
        <v>33</v>
      </c>
      <c r="T44" s="11" t="s">
        <v>42</v>
      </c>
      <c r="V44" s="11" t="s">
        <v>42</v>
      </c>
    </row>
    <row r="45" spans="1:25">
      <c r="A45" s="5" t="s">
        <v>40</v>
      </c>
      <c r="B45" s="5" t="s">
        <v>48</v>
      </c>
      <c r="C45" s="5" t="s">
        <v>38</v>
      </c>
      <c r="D45" s="5" t="s">
        <v>39</v>
      </c>
      <c r="E45" s="5"/>
      <c r="F45" s="5" t="s">
        <v>16</v>
      </c>
      <c r="G45" s="5"/>
      <c r="H45" s="5" t="s">
        <v>11</v>
      </c>
      <c r="I45" s="5"/>
      <c r="J45" s="5" t="s">
        <v>18</v>
      </c>
      <c r="L45" s="5" t="s">
        <v>46</v>
      </c>
      <c r="N45" s="5" t="s">
        <v>26</v>
      </c>
      <c r="P45" s="5" t="s">
        <v>25</v>
      </c>
      <c r="T45" s="5" t="s">
        <v>25</v>
      </c>
    </row>
    <row r="46" spans="1:25">
      <c r="A46">
        <f>A47*9.81</f>
        <v>23612.670000000002</v>
      </c>
      <c r="B46">
        <f>B47*9.81</f>
        <v>4237.92</v>
      </c>
      <c r="C46">
        <f>C47*9.81</f>
        <v>20601</v>
      </c>
      <c r="D46">
        <f>D47*9.81</f>
        <v>35316</v>
      </c>
      <c r="E46" t="s">
        <v>10</v>
      </c>
      <c r="F46">
        <f>PI()*F48^2</f>
        <v>132.73228961416876</v>
      </c>
      <c r="G46" t="s">
        <v>8</v>
      </c>
      <c r="H46">
        <f>D46/F46/2</f>
        <v>133.0346975203166</v>
      </c>
      <c r="I46" t="s">
        <v>12</v>
      </c>
      <c r="J46">
        <v>446</v>
      </c>
      <c r="K46" t="s">
        <v>19</v>
      </c>
      <c r="L46" t="s">
        <v>28</v>
      </c>
      <c r="N46" t="s">
        <v>28</v>
      </c>
      <c r="P46">
        <f>2*((D46/2)^(3/2))/(SQRT(2*$I$10*F46))</f>
        <v>260214.161161036</v>
      </c>
      <c r="Q46" t="s">
        <v>35</v>
      </c>
      <c r="R46">
        <f>P46/1000</f>
        <v>260.21416116103597</v>
      </c>
      <c r="S46" s="12" t="s">
        <v>43</v>
      </c>
      <c r="T46">
        <f>2*((A46/2)^(3/2))/(SQRT(2*$I$19*F46))</f>
        <v>229883.74585602168</v>
      </c>
      <c r="U46" t="s">
        <v>37</v>
      </c>
      <c r="V46">
        <f>T46/1000</f>
        <v>229.88374585602168</v>
      </c>
      <c r="W46" s="12" t="s">
        <v>43</v>
      </c>
    </row>
    <row r="47" spans="1:25">
      <c r="A47">
        <f>$F$5+$D$5+B47</f>
        <v>2407</v>
      </c>
      <c r="B47">
        <v>432</v>
      </c>
      <c r="C47">
        <v>2100</v>
      </c>
      <c r="D47">
        <v>3600</v>
      </c>
      <c r="E47" t="s">
        <v>9</v>
      </c>
      <c r="F47">
        <v>13</v>
      </c>
      <c r="G47" t="s">
        <v>47</v>
      </c>
      <c r="H47">
        <f>H46/9.81</f>
        <v>13.561131245699958</v>
      </c>
      <c r="I47" t="s">
        <v>32</v>
      </c>
      <c r="P47" s="5" t="s">
        <v>36</v>
      </c>
      <c r="T47" s="5" t="s">
        <v>36</v>
      </c>
      <c r="V47" s="9"/>
    </row>
    <row r="48" spans="1:25">
      <c r="F48">
        <f>F47/2</f>
        <v>6.5</v>
      </c>
      <c r="G48" t="s">
        <v>34</v>
      </c>
      <c r="P48">
        <f>P46/D46</f>
        <v>7.3681663031214182</v>
      </c>
      <c r="Q48" t="s">
        <v>35</v>
      </c>
      <c r="T48">
        <f>T46/A46</f>
        <v>9.7356099863345253</v>
      </c>
      <c r="U48" t="s">
        <v>35</v>
      </c>
      <c r="V48" s="9"/>
    </row>
    <row r="49" spans="1:23" s="1" customFormat="1">
      <c r="A49" s="3"/>
      <c r="B49" s="3"/>
      <c r="D49" s="2" t="s">
        <v>29</v>
      </c>
      <c r="V49" s="10"/>
    </row>
    <row r="50" spans="1:23" s="1" customFormat="1">
      <c r="A50" s="13" t="s">
        <v>44</v>
      </c>
      <c r="B50" s="3"/>
      <c r="D50" s="1" t="s">
        <v>193</v>
      </c>
      <c r="T50" s="11" t="s">
        <v>42</v>
      </c>
      <c r="V50" s="11" t="s">
        <v>42</v>
      </c>
    </row>
    <row r="51" spans="1:23">
      <c r="A51" s="5" t="s">
        <v>40</v>
      </c>
      <c r="B51" s="5" t="s">
        <v>48</v>
      </c>
      <c r="C51" s="5" t="s">
        <v>38</v>
      </c>
      <c r="D51" s="5" t="s">
        <v>39</v>
      </c>
      <c r="E51" s="5"/>
      <c r="F51" s="5" t="s">
        <v>16</v>
      </c>
      <c r="G51" s="5"/>
      <c r="H51" s="5" t="s">
        <v>11</v>
      </c>
      <c r="I51" s="5"/>
      <c r="J51" s="5" t="s">
        <v>18</v>
      </c>
      <c r="L51" s="5" t="s">
        <v>46</v>
      </c>
      <c r="N51" s="5" t="s">
        <v>26</v>
      </c>
      <c r="P51" s="5" t="s">
        <v>25</v>
      </c>
      <c r="T51" s="5" t="s">
        <v>25</v>
      </c>
    </row>
    <row r="52" spans="1:23">
      <c r="A52">
        <f>A53*9.81</f>
        <v>23612.670000000002</v>
      </c>
      <c r="B52">
        <f>B53*9.81</f>
        <v>4237.92</v>
      </c>
      <c r="C52">
        <f>C53*9.81</f>
        <v>18383.940000000002</v>
      </c>
      <c r="D52">
        <f>D53*9.81</f>
        <v>27144.27</v>
      </c>
      <c r="E52" t="s">
        <v>10</v>
      </c>
      <c r="F52">
        <f>PI()*F54^2</f>
        <v>89.416716964819756</v>
      </c>
      <c r="G52" t="s">
        <v>8</v>
      </c>
      <c r="H52">
        <f>D52/F52/2</f>
        <v>151.78520818808232</v>
      </c>
      <c r="I52" t="s">
        <v>12</v>
      </c>
      <c r="J52">
        <v>225</v>
      </c>
      <c r="K52" t="s">
        <v>19</v>
      </c>
      <c r="L52">
        <v>6</v>
      </c>
      <c r="N52">
        <f>(SQRT(2)-((SQRT(2)/2)*(L52/(F53)))+(1-(SQRT(2)/2))*((L52/F53)^2))</f>
        <v>1.1092056066152574</v>
      </c>
      <c r="P52">
        <f>N52*((D52/2)^(3/2))/(SQRT(2*I10*F52))+((D52/2)^(3/2))/(SQRT(2*I10*F52))</f>
        <v>225298.74344742479</v>
      </c>
      <c r="Q52" t="s">
        <v>37</v>
      </c>
      <c r="R52">
        <f>P52/1000</f>
        <v>225.29874344742478</v>
      </c>
      <c r="S52" t="s">
        <v>43</v>
      </c>
      <c r="T52" s="25">
        <f>N52*((A52/2)^(3/2))/(SQRT(2*I19*F52))+((A52/2)^(3/2))/(SQRT(2*I19*F52))</f>
        <v>295376.6219859462</v>
      </c>
      <c r="U52" t="s">
        <v>37</v>
      </c>
      <c r="V52">
        <f>T52/1000</f>
        <v>295.3766219859462</v>
      </c>
      <c r="W52" t="s">
        <v>43</v>
      </c>
    </row>
    <row r="53" spans="1:23">
      <c r="A53">
        <f>$F$5+$D$5+B53+A55</f>
        <v>2407</v>
      </c>
      <c r="B53">
        <v>432</v>
      </c>
      <c r="C53">
        <v>1874</v>
      </c>
      <c r="D53">
        <v>2767</v>
      </c>
      <c r="E53" t="s">
        <v>9</v>
      </c>
      <c r="F53">
        <v>10.67</v>
      </c>
      <c r="G53" t="s">
        <v>47</v>
      </c>
      <c r="H53">
        <f>H52/9.81</f>
        <v>15.472498286246923</v>
      </c>
      <c r="I53" t="s">
        <v>32</v>
      </c>
      <c r="N53" s="5">
        <v>1.092322</v>
      </c>
      <c r="P53" s="5" t="s">
        <v>36</v>
      </c>
      <c r="T53" s="5" t="s">
        <v>36</v>
      </c>
      <c r="V53" s="9"/>
    </row>
    <row r="54" spans="1:23">
      <c r="A54" s="21" t="s">
        <v>196</v>
      </c>
      <c r="B54" s="22"/>
      <c r="C54" s="22"/>
      <c r="F54">
        <f>F53/2</f>
        <v>5.335</v>
      </c>
      <c r="G54" t="s">
        <v>34</v>
      </c>
      <c r="P54">
        <f>P52/D52</f>
        <v>8.3000479824075128</v>
      </c>
      <c r="Q54" t="s">
        <v>35</v>
      </c>
      <c r="T54">
        <f>T52/A52</f>
        <v>12.509242791516003</v>
      </c>
      <c r="U54" t="s">
        <v>35</v>
      </c>
      <c r="V54" s="9"/>
    </row>
    <row r="55" spans="1:23">
      <c r="A55" s="22">
        <v>0</v>
      </c>
      <c r="B55" s="21" t="s">
        <v>197</v>
      </c>
      <c r="C55" s="22"/>
      <c r="F55" s="5"/>
    </row>
    <row r="56" spans="1:23">
      <c r="A56" s="22">
        <v>0</v>
      </c>
      <c r="B56" s="21" t="s">
        <v>198</v>
      </c>
      <c r="C56" s="21"/>
    </row>
    <row r="57" spans="1:23" s="1" customFormat="1">
      <c r="A57" s="3"/>
      <c r="B57" s="3"/>
      <c r="D57" s="2" t="s">
        <v>158</v>
      </c>
      <c r="V57" s="10"/>
    </row>
    <row r="58" spans="1:23" s="1" customFormat="1">
      <c r="A58" s="13" t="s">
        <v>44</v>
      </c>
      <c r="B58" s="3"/>
      <c r="D58" s="1" t="s">
        <v>160</v>
      </c>
      <c r="T58" s="11" t="s">
        <v>42</v>
      </c>
      <c r="V58" s="11" t="s">
        <v>42</v>
      </c>
    </row>
    <row r="59" spans="1:23">
      <c r="A59" s="5" t="s">
        <v>40</v>
      </c>
      <c r="B59" s="5" t="s">
        <v>48</v>
      </c>
      <c r="C59" s="5" t="s">
        <v>38</v>
      </c>
      <c r="D59" s="5" t="s">
        <v>39</v>
      </c>
      <c r="E59" s="5"/>
      <c r="F59" s="5" t="s">
        <v>16</v>
      </c>
      <c r="G59" s="5"/>
      <c r="H59" s="5" t="s">
        <v>11</v>
      </c>
      <c r="I59" s="5"/>
      <c r="J59" s="5" t="s">
        <v>18</v>
      </c>
      <c r="L59" s="5" t="s">
        <v>46</v>
      </c>
      <c r="N59" s="5" t="s">
        <v>26</v>
      </c>
      <c r="P59" s="5" t="s">
        <v>25</v>
      </c>
      <c r="T59" s="5" t="s">
        <v>25</v>
      </c>
    </row>
    <row r="60" spans="1:23">
      <c r="A60">
        <f>A61*9.81</f>
        <v>23612.670000000002</v>
      </c>
      <c r="B60">
        <f>B61*9.81</f>
        <v>4237.92</v>
      </c>
      <c r="C60">
        <f>C61*9.81</f>
        <v>35600.490000000005</v>
      </c>
      <c r="D60">
        <f>D61*9.81</f>
        <v>65413.08</v>
      </c>
      <c r="E60" t="s">
        <v>10</v>
      </c>
      <c r="F60">
        <f>PI()*F62^2</f>
        <v>141.23665946725268</v>
      </c>
      <c r="G60" t="s">
        <v>8</v>
      </c>
      <c r="H60">
        <f>D60/F60/2</f>
        <v>231.57259682698304</v>
      </c>
      <c r="I60" t="s">
        <v>12</v>
      </c>
      <c r="J60">
        <v>225</v>
      </c>
      <c r="K60" t="s">
        <v>19</v>
      </c>
      <c r="L60">
        <v>7</v>
      </c>
      <c r="N60">
        <f>(SQRT(2)-((SQRT(2)/2)*(L60/(F61)))+(1-(SQRT(2)/2))*((L60/F61)^2))</f>
        <v>1.1249131369772751</v>
      </c>
      <c r="P60">
        <f>N60*((D60/2)^(3/2))/(SQRT(2*I10*F60))+((D60/2)^(3/2))/(SQRT(2*I10*F60))</f>
        <v>675610.39579062723</v>
      </c>
      <c r="Q60" t="s">
        <v>37</v>
      </c>
      <c r="R60">
        <f>P60/1000</f>
        <v>675.61039579062719</v>
      </c>
      <c r="S60" t="s">
        <v>43</v>
      </c>
      <c r="T60">
        <f>N60*((A60/2)^(3/2))/(SQRT(2*I19*F60))+((A60/2)^(3/2))/(SQRT(2*I19*F60))</f>
        <v>236774.00783411908</v>
      </c>
      <c r="U60" t="s">
        <v>37</v>
      </c>
      <c r="V60">
        <f>T60/1000</f>
        <v>236.77400783411909</v>
      </c>
      <c r="W60" t="s">
        <v>43</v>
      </c>
    </row>
    <row r="61" spans="1:23">
      <c r="A61">
        <f>$F$5+$D$5+B61+A56</f>
        <v>2407</v>
      </c>
      <c r="B61">
        <v>432</v>
      </c>
      <c r="C61" s="16">
        <v>3629</v>
      </c>
      <c r="D61" s="17">
        <v>6668</v>
      </c>
      <c r="E61" t="s">
        <v>9</v>
      </c>
      <c r="F61">
        <v>13.41</v>
      </c>
      <c r="G61" t="s">
        <v>47</v>
      </c>
      <c r="H61">
        <f>H60/9.81</f>
        <v>23.605769299386651</v>
      </c>
      <c r="I61" t="s">
        <v>32</v>
      </c>
      <c r="N61" s="5"/>
      <c r="P61" s="5" t="s">
        <v>36</v>
      </c>
      <c r="T61" s="5" t="s">
        <v>36</v>
      </c>
      <c r="V61" s="9"/>
    </row>
    <row r="62" spans="1:23">
      <c r="D62" s="5"/>
      <c r="F62">
        <f>F61/2</f>
        <v>6.7050000000000001</v>
      </c>
      <c r="G62" t="s">
        <v>34</v>
      </c>
      <c r="P62">
        <f>P60/D60</f>
        <v>10.328368512698487</v>
      </c>
      <c r="Q62" t="s">
        <v>35</v>
      </c>
      <c r="T62">
        <f>T60/A60</f>
        <v>10.027413580680163</v>
      </c>
      <c r="U62" t="s">
        <v>35</v>
      </c>
      <c r="V62" s="9"/>
    </row>
    <row r="63" spans="1:23" s="1" customFormat="1">
      <c r="A63" s="3"/>
      <c r="B63" s="3"/>
      <c r="D63" s="2" t="s">
        <v>49</v>
      </c>
    </row>
    <row r="64" spans="1:23" s="1" customFormat="1">
      <c r="A64" s="13" t="s">
        <v>44</v>
      </c>
      <c r="B64" s="3"/>
      <c r="D64" s="1" t="s">
        <v>33</v>
      </c>
      <c r="I64" s="1" t="s">
        <v>33</v>
      </c>
      <c r="T64" s="11" t="s">
        <v>42</v>
      </c>
      <c r="V64" s="11" t="s">
        <v>42</v>
      </c>
    </row>
    <row r="65" spans="1:25">
      <c r="A65" s="5" t="s">
        <v>40</v>
      </c>
      <c r="B65" s="5" t="s">
        <v>48</v>
      </c>
      <c r="C65" s="5" t="s">
        <v>38</v>
      </c>
      <c r="D65" s="5" t="s">
        <v>39</v>
      </c>
      <c r="E65" s="5"/>
      <c r="F65" s="5" t="s">
        <v>16</v>
      </c>
      <c r="G65" s="5"/>
      <c r="H65" s="5" t="s">
        <v>11</v>
      </c>
      <c r="I65" s="5"/>
      <c r="J65" s="5" t="s">
        <v>18</v>
      </c>
      <c r="L65" s="5" t="s">
        <v>46</v>
      </c>
      <c r="N65" s="5" t="s">
        <v>26</v>
      </c>
      <c r="P65" s="5" t="s">
        <v>25</v>
      </c>
      <c r="T65" s="5" t="s">
        <v>25</v>
      </c>
      <c r="Y65" s="5"/>
    </row>
    <row r="66" spans="1:25">
      <c r="A66">
        <f>A67*9.81</f>
        <v>23612.670000000002</v>
      </c>
      <c r="B66">
        <f>B67*9.81</f>
        <v>4237.92</v>
      </c>
      <c r="C66">
        <f>C67*9.81</f>
        <v>12527.37</v>
      </c>
      <c r="D66">
        <f>D67*9.81</f>
        <v>23249.7</v>
      </c>
      <c r="E66" t="s">
        <v>10</v>
      </c>
      <c r="F66">
        <f>PI()*F68^2</f>
        <v>89.920235727373836</v>
      </c>
      <c r="G66" t="s">
        <v>8</v>
      </c>
      <c r="H66">
        <f>D66/F66</f>
        <v>258.55915314201343</v>
      </c>
      <c r="I66" t="s">
        <v>12</v>
      </c>
      <c r="J66">
        <v>394</v>
      </c>
      <c r="K66" t="s">
        <v>19</v>
      </c>
      <c r="L66" t="s">
        <v>28</v>
      </c>
      <c r="M66" t="s">
        <v>8</v>
      </c>
      <c r="N66" t="s">
        <v>28</v>
      </c>
      <c r="P66">
        <f>D66^(3/2)/SQRT(2*F66*I10)</f>
        <v>238821.96536118077</v>
      </c>
      <c r="Q66" t="s">
        <v>37</v>
      </c>
      <c r="R66">
        <f>P66/1000</f>
        <v>238.82196536118079</v>
      </c>
      <c r="S66" s="12" t="s">
        <v>43</v>
      </c>
      <c r="T66">
        <f>A66^(3/2)/SQRT(2*F66*I19)</f>
        <v>394987.03224890667</v>
      </c>
      <c r="U66" t="s">
        <v>37</v>
      </c>
      <c r="V66">
        <f>T66/1000</f>
        <v>394.9870322489067</v>
      </c>
      <c r="W66" s="12" t="s">
        <v>43</v>
      </c>
    </row>
    <row r="67" spans="1:25">
      <c r="A67">
        <f>$F$5+$D$5+B67</f>
        <v>2407</v>
      </c>
      <c r="B67">
        <v>432</v>
      </c>
      <c r="C67">
        <v>1277</v>
      </c>
      <c r="D67">
        <v>2370</v>
      </c>
      <c r="E67" t="s">
        <v>9</v>
      </c>
      <c r="F67" t="s">
        <v>28</v>
      </c>
      <c r="G67" t="s">
        <v>7</v>
      </c>
      <c r="H67">
        <f>H66/9.81</f>
        <v>26.356692471153252</v>
      </c>
      <c r="I67" t="s">
        <v>32</v>
      </c>
      <c r="P67" s="5" t="s">
        <v>36</v>
      </c>
      <c r="T67" s="5" t="s">
        <v>36</v>
      </c>
      <c r="V67" s="9"/>
    </row>
    <row r="68" spans="1:25">
      <c r="F68">
        <v>5.35</v>
      </c>
      <c r="G68" t="s">
        <v>34</v>
      </c>
      <c r="P68">
        <f>P66/D66</f>
        <v>10.272045031169467</v>
      </c>
      <c r="Q68" t="s">
        <v>35</v>
      </c>
      <c r="T68">
        <f>T66/A66</f>
        <v>16.727758116676625</v>
      </c>
      <c r="U68" t="s">
        <v>35</v>
      </c>
      <c r="V68" s="9"/>
    </row>
    <row r="69" spans="1:25" s="1" customFormat="1">
      <c r="A69" s="3"/>
      <c r="B69" s="3"/>
      <c r="D69" s="2" t="s">
        <v>195</v>
      </c>
    </row>
    <row r="70" spans="1:25" s="1" customFormat="1">
      <c r="A70" s="13" t="s">
        <v>44</v>
      </c>
      <c r="B70" s="3"/>
      <c r="D70" s="1" t="s">
        <v>33</v>
      </c>
      <c r="I70" s="1" t="s">
        <v>33</v>
      </c>
      <c r="T70" s="11" t="s">
        <v>42</v>
      </c>
      <c r="V70" s="11" t="s">
        <v>42</v>
      </c>
    </row>
    <row r="71" spans="1:25">
      <c r="A71" s="5" t="s">
        <v>40</v>
      </c>
      <c r="B71" s="5" t="s">
        <v>48</v>
      </c>
      <c r="C71" s="5" t="s">
        <v>38</v>
      </c>
      <c r="D71" s="5" t="s">
        <v>39</v>
      </c>
      <c r="E71" s="5"/>
      <c r="F71" s="5" t="s">
        <v>16</v>
      </c>
      <c r="G71" s="5"/>
      <c r="H71" s="5" t="s">
        <v>11</v>
      </c>
      <c r="I71" s="5"/>
      <c r="J71" s="5" t="s">
        <v>18</v>
      </c>
      <c r="L71" s="5" t="s">
        <v>46</v>
      </c>
      <c r="N71" s="5" t="s">
        <v>26</v>
      </c>
      <c r="P71" s="5" t="s">
        <v>25</v>
      </c>
      <c r="T71" s="5" t="s">
        <v>25</v>
      </c>
      <c r="Y71" s="5"/>
    </row>
    <row r="72" spans="1:25">
      <c r="A72">
        <f>A73*9.81</f>
        <v>23612.670000000002</v>
      </c>
      <c r="B72">
        <f>B73*9.81</f>
        <v>4237.92</v>
      </c>
      <c r="C72">
        <f>C73*9.81</f>
        <v>15548.85</v>
      </c>
      <c r="D72">
        <f>D73*9.81</f>
        <v>27958.5</v>
      </c>
      <c r="E72" t="s">
        <v>10</v>
      </c>
      <c r="F72">
        <f>PI()*F74^2</f>
        <v>95.033177771091246</v>
      </c>
      <c r="G72" t="s">
        <v>8</v>
      </c>
      <c r="H72">
        <f>D72/F72</f>
        <v>294.19725464031444</v>
      </c>
      <c r="I72" t="s">
        <v>12</v>
      </c>
      <c r="J72">
        <v>394</v>
      </c>
      <c r="K72" t="s">
        <v>19</v>
      </c>
      <c r="L72" t="s">
        <v>28</v>
      </c>
      <c r="M72" t="s">
        <v>8</v>
      </c>
      <c r="N72" t="s">
        <v>28</v>
      </c>
      <c r="P72">
        <f>D72^(3/2)/SQRT(2*F72*I10)</f>
        <v>306344.53100772388</v>
      </c>
      <c r="Q72" t="s">
        <v>37</v>
      </c>
      <c r="R72">
        <f>P72/1000</f>
        <v>306.3445310077239</v>
      </c>
      <c r="S72" s="12" t="s">
        <v>43</v>
      </c>
      <c r="T72">
        <f>A72^(3/2)/SQRT(2*F72*I19)</f>
        <v>384214.65864211827</v>
      </c>
      <c r="U72" t="s">
        <v>37</v>
      </c>
      <c r="V72">
        <f>T72/1000</f>
        <v>384.21465864211825</v>
      </c>
      <c r="W72" s="12" t="s">
        <v>43</v>
      </c>
    </row>
    <row r="73" spans="1:25">
      <c r="A73">
        <f>$F$5+$D$5+B73</f>
        <v>2407</v>
      </c>
      <c r="B73">
        <v>432</v>
      </c>
      <c r="C73">
        <v>1585</v>
      </c>
      <c r="D73">
        <v>2850</v>
      </c>
      <c r="E73" t="s">
        <v>9</v>
      </c>
      <c r="F73">
        <v>11</v>
      </c>
      <c r="G73" t="s">
        <v>47</v>
      </c>
      <c r="H73">
        <f>H72/9.81</f>
        <v>29.989526466902593</v>
      </c>
      <c r="I73" t="s">
        <v>32</v>
      </c>
      <c r="P73" s="5" t="s">
        <v>36</v>
      </c>
      <c r="T73" s="5" t="s">
        <v>36</v>
      </c>
      <c r="V73" s="9"/>
    </row>
    <row r="74" spans="1:25">
      <c r="F74">
        <f>F73/2</f>
        <v>5.5</v>
      </c>
      <c r="G74" t="s">
        <v>34</v>
      </c>
      <c r="P74">
        <f>P72/D72</f>
        <v>10.957116118809088</v>
      </c>
      <c r="Q74" t="s">
        <v>35</v>
      </c>
      <c r="T74">
        <f>T72/A72</f>
        <v>16.271546531676353</v>
      </c>
      <c r="U74" t="s">
        <v>35</v>
      </c>
      <c r="V74" s="9"/>
    </row>
    <row r="75" spans="1:25">
      <c r="V75">
        <f>AVERAGE(V72,V66)</f>
        <v>389.6008454455125</v>
      </c>
    </row>
    <row r="76" spans="1:25">
      <c r="C76">
        <f>AVERAGE(C73,C67)</f>
        <v>1431</v>
      </c>
      <c r="V76" t="s">
        <v>199</v>
      </c>
    </row>
  </sheetData>
  <hyperlinks>
    <hyperlink ref="L22" r:id="rId1" display="http://up.farsscript.ir/uploads/13316846411.pdf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ColWidth="11" defaultRowHeight="15.75"/>
  <cols>
    <col min="1" max="1" width="16.625" customWidth="1"/>
    <col min="2" max="2" width="15.5" customWidth="1"/>
    <col min="3" max="3" width="16.625" bestFit="1" customWidth="1"/>
    <col min="4" max="4" width="16.625" customWidth="1"/>
    <col min="5" max="5" width="11" bestFit="1" customWidth="1"/>
    <col min="6" max="6" width="12" bestFit="1" customWidth="1"/>
    <col min="7" max="7" width="22" bestFit="1" customWidth="1"/>
    <col min="8" max="8" width="20.875" bestFit="1" customWidth="1"/>
    <col min="9" max="9" width="32.625" bestFit="1" customWidth="1"/>
    <col min="10" max="10" width="13.375" bestFit="1" customWidth="1"/>
    <col min="12" max="12" width="22.875" bestFit="1" customWidth="1"/>
  </cols>
  <sheetData>
    <row r="1" spans="1:12">
      <c r="A1" s="5" t="s">
        <v>203</v>
      </c>
      <c r="B1" s="5" t="s">
        <v>204</v>
      </c>
      <c r="C1" s="5" t="s">
        <v>206</v>
      </c>
      <c r="D1" s="5" t="s">
        <v>215</v>
      </c>
      <c r="E1" s="5" t="s">
        <v>207</v>
      </c>
      <c r="F1" s="5" t="s">
        <v>208</v>
      </c>
      <c r="G1" s="5" t="s">
        <v>209</v>
      </c>
      <c r="H1" s="5" t="s">
        <v>210</v>
      </c>
      <c r="I1" s="5" t="s">
        <v>213</v>
      </c>
      <c r="J1" s="5" t="s">
        <v>214</v>
      </c>
      <c r="K1" s="5" t="s">
        <v>226</v>
      </c>
      <c r="L1" s="5" t="s">
        <v>249</v>
      </c>
    </row>
    <row r="2" spans="1:12">
      <c r="A2" t="s">
        <v>205</v>
      </c>
      <c r="B2" t="s">
        <v>211</v>
      </c>
      <c r="C2">
        <v>1189</v>
      </c>
      <c r="D2" s="24">
        <f>C2*1.34102209</f>
        <v>1594.4752650100002</v>
      </c>
      <c r="E2">
        <v>194.6</v>
      </c>
      <c r="F2">
        <v>1194</v>
      </c>
      <c r="G2">
        <v>396.2</v>
      </c>
      <c r="H2">
        <v>635</v>
      </c>
      <c r="I2">
        <v>81.25</v>
      </c>
      <c r="J2">
        <v>0.48099999999999998</v>
      </c>
      <c r="K2">
        <f>J2*D2*0.45359237</f>
        <v>347.87931270824902</v>
      </c>
      <c r="L2">
        <f>C2/E2</f>
        <v>6.1099691675231247</v>
      </c>
    </row>
    <row r="3" spans="1:12">
      <c r="A3" t="s">
        <v>205</v>
      </c>
      <c r="B3" t="s">
        <v>212</v>
      </c>
      <c r="C3">
        <v>1523</v>
      </c>
      <c r="D3" s="24">
        <f t="shared" ref="D3:D17" si="0">C3*1.34102209</f>
        <v>2042.37664307</v>
      </c>
      <c r="E3">
        <v>243.6</v>
      </c>
      <c r="F3">
        <v>1240</v>
      </c>
      <c r="G3">
        <v>396.2</v>
      </c>
      <c r="H3">
        <v>660</v>
      </c>
      <c r="I3">
        <v>76.02</v>
      </c>
      <c r="J3">
        <v>0.45</v>
      </c>
      <c r="K3">
        <f t="shared" ref="K3:K19" si="1">J3*D3*0.45359237</f>
        <v>416.88290788324446</v>
      </c>
      <c r="L3">
        <f t="shared" ref="L3:L17" si="2">C3/E3</f>
        <v>6.2520525451559932</v>
      </c>
    </row>
    <row r="4" spans="1:12">
      <c r="A4" t="s">
        <v>216</v>
      </c>
      <c r="B4" t="s">
        <v>217</v>
      </c>
      <c r="C4">
        <v>1094</v>
      </c>
      <c r="D4" s="24">
        <f t="shared" si="0"/>
        <v>1467.0781664600001</v>
      </c>
      <c r="E4">
        <v>149.69999999999999</v>
      </c>
      <c r="F4">
        <v>856</v>
      </c>
      <c r="G4">
        <v>561</v>
      </c>
      <c r="H4">
        <v>690</v>
      </c>
      <c r="I4">
        <v>76.849999999999994</v>
      </c>
      <c r="J4">
        <v>0.45500000000000002</v>
      </c>
      <c r="K4">
        <f t="shared" si="1"/>
        <v>302.78223543742996</v>
      </c>
      <c r="L4">
        <f t="shared" si="2"/>
        <v>7.3079492317969281</v>
      </c>
    </row>
    <row r="5" spans="1:12">
      <c r="A5" t="s">
        <v>216</v>
      </c>
      <c r="B5" t="s">
        <v>218</v>
      </c>
      <c r="C5">
        <v>918</v>
      </c>
      <c r="D5" s="24">
        <f t="shared" si="0"/>
        <v>1231.05827862</v>
      </c>
      <c r="E5">
        <v>149.69999999999999</v>
      </c>
      <c r="F5">
        <v>856</v>
      </c>
      <c r="H5">
        <v>662</v>
      </c>
      <c r="I5">
        <v>76.02</v>
      </c>
      <c r="J5">
        <v>0.45</v>
      </c>
      <c r="K5">
        <f t="shared" si="1"/>
        <v>251.27938899331477</v>
      </c>
      <c r="L5">
        <f t="shared" si="2"/>
        <v>6.1322645290581166</v>
      </c>
    </row>
    <row r="6" spans="1:12">
      <c r="A6" t="s">
        <v>216</v>
      </c>
      <c r="B6" t="s">
        <v>219</v>
      </c>
      <c r="C6">
        <v>676</v>
      </c>
      <c r="D6" s="24">
        <f t="shared" si="0"/>
        <v>906.53093283999999</v>
      </c>
      <c r="E6">
        <v>142.9</v>
      </c>
      <c r="F6">
        <v>914</v>
      </c>
      <c r="H6">
        <v>610</v>
      </c>
      <c r="I6">
        <v>88.1</v>
      </c>
      <c r="J6">
        <v>0.55200000000000005</v>
      </c>
      <c r="K6">
        <f t="shared" si="1"/>
        <v>226.97992389647399</v>
      </c>
      <c r="L6">
        <f t="shared" si="2"/>
        <v>4.7305808257522743</v>
      </c>
    </row>
    <row r="7" spans="1:12">
      <c r="A7" t="s">
        <v>216</v>
      </c>
      <c r="B7" t="s">
        <v>220</v>
      </c>
      <c r="C7">
        <v>1119</v>
      </c>
      <c r="D7" s="24">
        <f t="shared" si="0"/>
        <v>1500.6037187100001</v>
      </c>
      <c r="E7">
        <v>248</v>
      </c>
      <c r="F7">
        <v>1209</v>
      </c>
      <c r="G7">
        <v>584</v>
      </c>
      <c r="H7">
        <v>622</v>
      </c>
      <c r="I7">
        <v>99.7</v>
      </c>
      <c r="J7">
        <v>0.59</v>
      </c>
      <c r="K7">
        <f t="shared" si="1"/>
        <v>401.59081434828454</v>
      </c>
      <c r="L7">
        <f t="shared" si="2"/>
        <v>4.512096774193548</v>
      </c>
    </row>
    <row r="8" spans="1:12">
      <c r="A8" t="s">
        <v>216</v>
      </c>
      <c r="B8" t="s">
        <v>221</v>
      </c>
      <c r="C8">
        <v>820</v>
      </c>
      <c r="D8" s="24">
        <f t="shared" si="0"/>
        <v>1099.6381138000002</v>
      </c>
      <c r="E8">
        <v>225</v>
      </c>
      <c r="F8">
        <v>1209</v>
      </c>
      <c r="G8">
        <v>584</v>
      </c>
      <c r="H8">
        <v>622</v>
      </c>
      <c r="I8">
        <v>115</v>
      </c>
      <c r="J8">
        <v>0.68</v>
      </c>
      <c r="K8">
        <f t="shared" si="1"/>
        <v>339.17547156299287</v>
      </c>
      <c r="L8">
        <f t="shared" si="2"/>
        <v>3.6444444444444444</v>
      </c>
    </row>
    <row r="9" spans="1:12">
      <c r="A9" t="s">
        <v>216</v>
      </c>
      <c r="B9" t="s">
        <v>222</v>
      </c>
      <c r="C9">
        <v>3643</v>
      </c>
      <c r="D9" s="24">
        <f t="shared" si="0"/>
        <v>4885.3434738699998</v>
      </c>
      <c r="E9">
        <v>374</v>
      </c>
      <c r="F9">
        <v>1181</v>
      </c>
      <c r="G9">
        <v>616</v>
      </c>
      <c r="H9">
        <v>616</v>
      </c>
      <c r="I9">
        <v>85</v>
      </c>
      <c r="J9">
        <v>0.503</v>
      </c>
      <c r="K9">
        <f t="shared" si="1"/>
        <v>1114.6251258620935</v>
      </c>
      <c r="L9">
        <f t="shared" si="2"/>
        <v>9.7406417112299462</v>
      </c>
    </row>
    <row r="10" spans="1:12">
      <c r="A10" t="s">
        <v>216</v>
      </c>
      <c r="B10" t="s">
        <v>223</v>
      </c>
      <c r="C10">
        <v>3629</v>
      </c>
      <c r="D10" s="24">
        <f t="shared" si="0"/>
        <v>4866.5691646100004</v>
      </c>
      <c r="E10">
        <v>396</v>
      </c>
      <c r="F10">
        <v>1181</v>
      </c>
      <c r="G10">
        <v>616</v>
      </c>
      <c r="H10">
        <v>616</v>
      </c>
      <c r="I10">
        <v>85</v>
      </c>
      <c r="J10">
        <v>0.503</v>
      </c>
      <c r="K10">
        <f t="shared" si="1"/>
        <v>1110.3416364956183</v>
      </c>
      <c r="L10">
        <f t="shared" si="2"/>
        <v>9.1641414141414135</v>
      </c>
    </row>
    <row r="11" spans="1:12">
      <c r="A11" t="s">
        <v>224</v>
      </c>
      <c r="B11" t="s">
        <v>227</v>
      </c>
      <c r="C11">
        <v>1000</v>
      </c>
      <c r="D11" s="24">
        <f t="shared" si="0"/>
        <v>1341.0220900000002</v>
      </c>
      <c r="E11">
        <v>179</v>
      </c>
      <c r="F11">
        <v>1078</v>
      </c>
      <c r="H11">
        <v>682</v>
      </c>
      <c r="I11">
        <v>78.930000000000007</v>
      </c>
      <c r="J11">
        <v>0.46700000000000003</v>
      </c>
      <c r="K11">
        <f t="shared" si="1"/>
        <v>284.06554020788673</v>
      </c>
      <c r="L11">
        <f t="shared" si="2"/>
        <v>5.5865921787709496</v>
      </c>
    </row>
    <row r="12" spans="1:12">
      <c r="A12" t="s">
        <v>224</v>
      </c>
      <c r="B12" t="s">
        <v>228</v>
      </c>
      <c r="C12">
        <v>1236</v>
      </c>
      <c r="D12" s="24">
        <f t="shared" si="0"/>
        <v>1657.5033032400002</v>
      </c>
      <c r="E12">
        <v>247</v>
      </c>
      <c r="F12">
        <v>2117</v>
      </c>
      <c r="H12">
        <v>673</v>
      </c>
      <c r="I12">
        <v>93.1</v>
      </c>
      <c r="J12">
        <v>0.55100000000000005</v>
      </c>
      <c r="K12">
        <f t="shared" si="1"/>
        <v>414.2587992313027</v>
      </c>
      <c r="L12">
        <f t="shared" si="2"/>
        <v>5.0040485829959511</v>
      </c>
    </row>
    <row r="13" spans="1:12">
      <c r="A13" t="s">
        <v>224</v>
      </c>
      <c r="B13" t="s">
        <v>229</v>
      </c>
      <c r="C13">
        <v>1185</v>
      </c>
      <c r="D13" s="24">
        <f t="shared" si="0"/>
        <v>1589.1111766500001</v>
      </c>
      <c r="E13">
        <v>241</v>
      </c>
      <c r="F13">
        <v>2103</v>
      </c>
      <c r="H13">
        <v>680</v>
      </c>
      <c r="I13">
        <v>94.9</v>
      </c>
      <c r="J13">
        <v>0.56200000000000006</v>
      </c>
      <c r="K13">
        <f t="shared" si="1"/>
        <v>405.09449210331121</v>
      </c>
      <c r="L13">
        <f t="shared" si="2"/>
        <v>4.9170124481327804</v>
      </c>
    </row>
    <row r="14" spans="1:12">
      <c r="A14" t="s">
        <v>224</v>
      </c>
      <c r="B14" t="s">
        <v>230</v>
      </c>
      <c r="C14">
        <v>1375</v>
      </c>
      <c r="D14" s="24">
        <f t="shared" si="0"/>
        <v>1843.9053737500001</v>
      </c>
      <c r="E14">
        <v>254</v>
      </c>
      <c r="F14">
        <v>1171</v>
      </c>
      <c r="H14">
        <v>736</v>
      </c>
      <c r="I14">
        <v>74.400000000000006</v>
      </c>
      <c r="J14">
        <v>0.441</v>
      </c>
      <c r="K14">
        <f t="shared" si="1"/>
        <v>368.84420116393431</v>
      </c>
      <c r="L14">
        <f t="shared" si="2"/>
        <v>5.4133858267716537</v>
      </c>
    </row>
    <row r="15" spans="1:12">
      <c r="A15" t="s">
        <v>224</v>
      </c>
      <c r="B15" t="s">
        <v>231</v>
      </c>
      <c r="C15">
        <v>581</v>
      </c>
      <c r="D15" s="24">
        <f t="shared" si="0"/>
        <v>779.13383428999998</v>
      </c>
      <c r="E15">
        <v>120</v>
      </c>
      <c r="F15">
        <v>1090</v>
      </c>
      <c r="H15">
        <v>569</v>
      </c>
      <c r="I15">
        <v>92.74</v>
      </c>
      <c r="J15">
        <v>0.54900000000000004</v>
      </c>
      <c r="K15">
        <f t="shared" si="1"/>
        <v>194.02163018109084</v>
      </c>
      <c r="L15">
        <f t="shared" si="2"/>
        <v>4.8416666666666668</v>
      </c>
    </row>
    <row r="16" spans="1:12">
      <c r="A16" t="s">
        <v>224</v>
      </c>
      <c r="B16" t="s">
        <v>232</v>
      </c>
      <c r="C16">
        <v>544</v>
      </c>
      <c r="D16" s="24">
        <f t="shared" si="0"/>
        <v>729.51601696</v>
      </c>
      <c r="E16">
        <v>120</v>
      </c>
      <c r="F16">
        <v>1090</v>
      </c>
      <c r="H16">
        <v>569</v>
      </c>
      <c r="I16">
        <v>93.76</v>
      </c>
      <c r="J16">
        <v>0.55500000000000005</v>
      </c>
      <c r="K16">
        <f t="shared" si="1"/>
        <v>183.65110899264488</v>
      </c>
      <c r="L16">
        <f t="shared" si="2"/>
        <v>4.5333333333333332</v>
      </c>
    </row>
    <row r="17" spans="1:12">
      <c r="A17" t="s">
        <v>224</v>
      </c>
      <c r="B17" t="s">
        <v>233</v>
      </c>
      <c r="C17">
        <v>541</v>
      </c>
      <c r="D17" s="24">
        <f t="shared" si="0"/>
        <v>725.49295069000004</v>
      </c>
      <c r="E17">
        <v>120</v>
      </c>
      <c r="F17">
        <v>1090</v>
      </c>
      <c r="H17">
        <v>569</v>
      </c>
      <c r="I17">
        <v>95.25</v>
      </c>
      <c r="J17">
        <v>0.56399999999999995</v>
      </c>
      <c r="K17">
        <f t="shared" si="1"/>
        <v>185.60002974387842</v>
      </c>
      <c r="L17">
        <f t="shared" si="2"/>
        <v>4.5083333333333337</v>
      </c>
    </row>
    <row r="18" spans="1:12">
      <c r="D18" s="24"/>
    </row>
    <row r="19" spans="1:12">
      <c r="A19" s="29" t="s">
        <v>248</v>
      </c>
      <c r="D19" s="24"/>
      <c r="K19">
        <f t="shared" si="1"/>
        <v>0</v>
      </c>
    </row>
    <row r="20" spans="1:12">
      <c r="A20" t="s">
        <v>224</v>
      </c>
      <c r="B20" t="s">
        <v>225</v>
      </c>
      <c r="C20">
        <v>1306</v>
      </c>
      <c r="D20" s="24">
        <f>C20*1.34102209</f>
        <v>1751.37484954</v>
      </c>
      <c r="E20">
        <v>180</v>
      </c>
      <c r="I20" t="s">
        <v>74</v>
      </c>
      <c r="J20" s="25">
        <v>0.45</v>
      </c>
      <c r="K20">
        <f>J20*D20*0.45359237</f>
        <v>357.48462094255893</v>
      </c>
      <c r="L20">
        <f>C20/E20</f>
        <v>7.2555555555555555</v>
      </c>
    </row>
    <row r="21" spans="1:12">
      <c r="D21" s="24"/>
    </row>
    <row r="22" spans="1:12">
      <c r="D22" s="24"/>
    </row>
    <row r="23" spans="1:12">
      <c r="D23" s="24"/>
    </row>
    <row r="24" spans="1:12">
      <c r="D24" s="24"/>
    </row>
    <row r="25" spans="1:12">
      <c r="D25" s="2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A6" workbookViewId="0">
      <selection activeCell="D29" sqref="D29"/>
    </sheetView>
  </sheetViews>
  <sheetFormatPr defaultColWidth="11" defaultRowHeight="15.75"/>
  <cols>
    <col min="1" max="1" width="37.125" bestFit="1" customWidth="1"/>
    <col min="2" max="2" width="26.125" bestFit="1" customWidth="1"/>
  </cols>
  <sheetData>
    <row r="1" spans="1:23">
      <c r="A1" s="14" t="s">
        <v>52</v>
      </c>
      <c r="B1" s="14" t="s">
        <v>53</v>
      </c>
      <c r="C1" s="14" t="s">
        <v>54</v>
      </c>
      <c r="D1" s="14" t="s">
        <v>55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  <c r="K1" s="14" t="s">
        <v>62</v>
      </c>
      <c r="L1" s="14" t="s">
        <v>63</v>
      </c>
      <c r="M1" s="14" t="s">
        <v>41</v>
      </c>
      <c r="N1" s="14" t="s">
        <v>64</v>
      </c>
      <c r="O1" s="14" t="s">
        <v>65</v>
      </c>
      <c r="P1" s="14" t="s">
        <v>66</v>
      </c>
      <c r="Q1" s="14" t="s">
        <v>67</v>
      </c>
      <c r="R1" s="14" t="s">
        <v>68</v>
      </c>
      <c r="S1" s="14" t="s">
        <v>69</v>
      </c>
      <c r="T1" s="14" t="s">
        <v>70</v>
      </c>
      <c r="U1" s="15"/>
      <c r="V1" s="14" t="s">
        <v>71</v>
      </c>
      <c r="W1" s="14" t="s">
        <v>72</v>
      </c>
    </row>
    <row r="2" spans="1:23">
      <c r="A2" s="16" t="s">
        <v>30</v>
      </c>
      <c r="B2" s="16" t="s">
        <v>73</v>
      </c>
      <c r="C2" s="16">
        <v>4060</v>
      </c>
      <c r="D2" s="17">
        <v>4990</v>
      </c>
      <c r="E2" s="16">
        <v>0.81362725449999995</v>
      </c>
      <c r="F2" s="16"/>
      <c r="G2" s="16">
        <v>1950</v>
      </c>
      <c r="H2" s="16">
        <v>2600</v>
      </c>
      <c r="I2" s="15"/>
      <c r="J2" s="16">
        <v>570</v>
      </c>
      <c r="K2" s="15"/>
      <c r="L2" s="15"/>
      <c r="M2" s="15"/>
      <c r="N2" s="16" t="s">
        <v>74</v>
      </c>
      <c r="O2" s="16" t="s">
        <v>75</v>
      </c>
      <c r="P2" s="17" t="s">
        <v>76</v>
      </c>
      <c r="Q2" s="16"/>
      <c r="R2" s="15">
        <v>0</v>
      </c>
      <c r="S2" s="16"/>
      <c r="T2" s="15"/>
      <c r="U2" s="16"/>
      <c r="V2" s="18" t="s">
        <v>77</v>
      </c>
    </row>
    <row r="3" spans="1:23">
      <c r="A3" s="16" t="s">
        <v>78</v>
      </c>
      <c r="B3" s="16" t="s">
        <v>73</v>
      </c>
      <c r="C3" s="16">
        <v>850</v>
      </c>
      <c r="D3" s="17">
        <v>1439</v>
      </c>
      <c r="E3" s="16">
        <v>0.59068797780000004</v>
      </c>
      <c r="F3" s="16"/>
      <c r="G3" s="16">
        <v>201.33896540000001</v>
      </c>
      <c r="H3" s="16">
        <v>270</v>
      </c>
      <c r="I3" s="15"/>
      <c r="J3" s="16">
        <v>805</v>
      </c>
      <c r="K3" s="15"/>
      <c r="L3" s="15"/>
      <c r="M3" s="15"/>
      <c r="N3" s="16" t="s">
        <v>74</v>
      </c>
      <c r="O3" s="16" t="s">
        <v>79</v>
      </c>
      <c r="P3" s="15"/>
      <c r="Q3" s="17" t="s">
        <v>80</v>
      </c>
      <c r="R3" s="16"/>
      <c r="S3" s="15">
        <v>0</v>
      </c>
      <c r="T3" s="16"/>
      <c r="U3" s="15"/>
      <c r="V3" s="16"/>
      <c r="W3" s="16" t="s">
        <v>81</v>
      </c>
    </row>
    <row r="4" spans="1:23">
      <c r="A4" s="16" t="s">
        <v>82</v>
      </c>
      <c r="B4" s="16" t="s">
        <v>73</v>
      </c>
      <c r="C4" s="16">
        <v>1965</v>
      </c>
      <c r="D4" s="17">
        <v>3250</v>
      </c>
      <c r="E4" s="16">
        <v>0.60461538459999997</v>
      </c>
      <c r="F4" s="16"/>
      <c r="G4" s="16">
        <v>239.36965889999999</v>
      </c>
      <c r="H4" s="16">
        <v>321</v>
      </c>
      <c r="I4" s="15"/>
      <c r="J4" s="16">
        <v>400</v>
      </c>
      <c r="K4" s="15"/>
      <c r="L4" s="15"/>
      <c r="M4" s="15"/>
      <c r="N4" s="16" t="s">
        <v>74</v>
      </c>
      <c r="O4" s="16" t="s">
        <v>83</v>
      </c>
      <c r="P4" s="15"/>
      <c r="Q4" s="17" t="s">
        <v>84</v>
      </c>
      <c r="R4" s="16"/>
      <c r="S4" s="15">
        <v>0</v>
      </c>
      <c r="T4" s="16"/>
      <c r="U4" s="15"/>
      <c r="V4" s="16"/>
      <c r="W4" s="18" t="s">
        <v>85</v>
      </c>
    </row>
    <row r="5" spans="1:23">
      <c r="A5" s="16" t="s">
        <v>86</v>
      </c>
      <c r="B5" s="16" t="s">
        <v>73</v>
      </c>
      <c r="C5" s="16">
        <v>283</v>
      </c>
      <c r="D5" s="17">
        <v>450</v>
      </c>
      <c r="E5" s="16">
        <v>0.62888888890000005</v>
      </c>
      <c r="F5" s="16"/>
      <c r="G5" s="16">
        <v>100.6694827</v>
      </c>
      <c r="H5" s="16">
        <v>135</v>
      </c>
      <c r="I5" s="15"/>
      <c r="J5" s="16">
        <v>400</v>
      </c>
      <c r="K5" s="15"/>
      <c r="L5" s="15"/>
      <c r="M5" s="15"/>
      <c r="N5" s="16" t="s">
        <v>87</v>
      </c>
      <c r="O5" s="16" t="s">
        <v>74</v>
      </c>
      <c r="P5" s="15"/>
      <c r="Q5" s="17" t="s">
        <v>76</v>
      </c>
      <c r="R5" s="16"/>
      <c r="S5" s="15">
        <v>0</v>
      </c>
      <c r="T5" s="16"/>
      <c r="U5" s="15"/>
      <c r="V5" s="16"/>
      <c r="W5" s="16" t="s">
        <v>88</v>
      </c>
    </row>
    <row r="6" spans="1:23">
      <c r="A6" s="16" t="s">
        <v>89</v>
      </c>
      <c r="B6" s="16" t="s">
        <v>73</v>
      </c>
      <c r="C6" s="16">
        <v>7700</v>
      </c>
      <c r="D6" s="17">
        <v>9800</v>
      </c>
      <c r="E6" s="16">
        <v>0.78571428570000001</v>
      </c>
      <c r="F6" s="16">
        <v>0.68470675830000005</v>
      </c>
      <c r="G6" s="16">
        <v>3600</v>
      </c>
      <c r="H6" s="16">
        <v>4827.6795199999997</v>
      </c>
      <c r="I6" s="15"/>
      <c r="J6" s="16" t="s">
        <v>90</v>
      </c>
      <c r="K6" s="15"/>
      <c r="L6" s="15"/>
      <c r="M6" s="15"/>
      <c r="N6" s="16" t="s">
        <v>91</v>
      </c>
      <c r="O6" s="16">
        <v>5486</v>
      </c>
      <c r="P6" s="16">
        <v>3000</v>
      </c>
      <c r="Q6" s="15"/>
      <c r="R6" s="15"/>
      <c r="S6" s="15">
        <v>0</v>
      </c>
      <c r="T6" s="15"/>
      <c r="U6" s="15"/>
      <c r="V6" s="15"/>
      <c r="W6" s="15"/>
    </row>
    <row r="7" spans="1:23">
      <c r="A7" s="16" t="s">
        <v>92</v>
      </c>
      <c r="B7" s="16" t="s">
        <v>93</v>
      </c>
      <c r="C7" s="16">
        <v>1021</v>
      </c>
      <c r="D7" s="16">
        <v>2300</v>
      </c>
      <c r="E7" s="16">
        <v>0.44391304349999999</v>
      </c>
      <c r="F7" s="16"/>
      <c r="G7" s="16">
        <v>640</v>
      </c>
      <c r="H7" s="15"/>
      <c r="I7" s="16">
        <v>215</v>
      </c>
      <c r="J7" s="16">
        <v>565</v>
      </c>
      <c r="K7" s="16" t="s">
        <v>94</v>
      </c>
      <c r="L7" s="15"/>
      <c r="M7" s="15"/>
      <c r="N7" s="15"/>
      <c r="O7" s="15"/>
      <c r="P7" s="15"/>
      <c r="Q7" s="15"/>
      <c r="R7" s="15"/>
      <c r="S7" s="15">
        <v>0</v>
      </c>
      <c r="T7" s="15"/>
      <c r="U7" s="15"/>
      <c r="V7" s="15"/>
      <c r="W7" s="15"/>
    </row>
    <row r="8" spans="1:23">
      <c r="A8" s="16" t="s">
        <v>95</v>
      </c>
      <c r="B8" s="16" t="s">
        <v>93</v>
      </c>
      <c r="C8" s="16">
        <v>1057</v>
      </c>
      <c r="D8" s="16">
        <v>2064</v>
      </c>
      <c r="E8" s="16">
        <v>0.51211240309999995</v>
      </c>
      <c r="F8" s="16"/>
      <c r="G8" s="16">
        <v>541.37810709999997</v>
      </c>
      <c r="H8" s="16">
        <v>726</v>
      </c>
      <c r="I8" s="15"/>
      <c r="J8" s="15"/>
      <c r="K8" s="15"/>
      <c r="L8" s="15"/>
      <c r="M8" s="15"/>
      <c r="N8" s="16" t="s">
        <v>96</v>
      </c>
      <c r="O8" s="16" t="s">
        <v>97</v>
      </c>
      <c r="P8" s="15"/>
      <c r="Q8" s="15"/>
      <c r="R8" s="16"/>
      <c r="S8" s="15">
        <v>0</v>
      </c>
      <c r="T8" s="16"/>
      <c r="U8" s="15"/>
      <c r="V8" s="16"/>
      <c r="W8" s="18" t="s">
        <v>98</v>
      </c>
    </row>
    <row r="9" spans="1:23">
      <c r="A9" s="16" t="s">
        <v>99</v>
      </c>
      <c r="B9" s="16" t="s">
        <v>93</v>
      </c>
      <c r="C9" s="16">
        <v>1277</v>
      </c>
      <c r="D9" s="16">
        <v>2370</v>
      </c>
      <c r="E9" s="16">
        <v>0.53881856539999995</v>
      </c>
      <c r="F9" s="16"/>
      <c r="G9" s="16">
        <v>632</v>
      </c>
      <c r="H9" s="16">
        <v>847</v>
      </c>
      <c r="I9" s="16">
        <v>247</v>
      </c>
      <c r="J9" s="16">
        <v>631</v>
      </c>
      <c r="K9" s="16">
        <v>9</v>
      </c>
      <c r="L9" s="15"/>
      <c r="M9" s="15"/>
      <c r="N9" s="15"/>
      <c r="O9" s="15"/>
      <c r="P9" s="15"/>
      <c r="Q9" s="15"/>
      <c r="R9" s="15">
        <v>2.9740000000000002</v>
      </c>
      <c r="S9" s="15">
        <v>1255</v>
      </c>
      <c r="T9" s="15">
        <v>653</v>
      </c>
      <c r="U9" s="15"/>
      <c r="V9" s="15">
        <v>290441</v>
      </c>
      <c r="W9" s="15"/>
    </row>
    <row r="10" spans="1:23">
      <c r="A10" s="16" t="s">
        <v>100</v>
      </c>
      <c r="B10" s="16" t="s">
        <v>93</v>
      </c>
      <c r="C10" s="16">
        <v>1305</v>
      </c>
      <c r="D10" s="16">
        <v>2800</v>
      </c>
      <c r="E10" s="16">
        <v>0.4660714286</v>
      </c>
      <c r="F10" s="16"/>
      <c r="G10" s="16">
        <v>680.07828329999995</v>
      </c>
      <c r="H10" s="16">
        <v>912</v>
      </c>
      <c r="I10" s="15"/>
      <c r="J10" s="15"/>
      <c r="K10" s="15"/>
      <c r="L10" s="15"/>
      <c r="M10" s="15"/>
      <c r="N10" s="16" t="s">
        <v>101</v>
      </c>
      <c r="O10" s="16" t="s">
        <v>102</v>
      </c>
      <c r="P10" s="15"/>
      <c r="Q10" s="15"/>
      <c r="R10" s="16"/>
      <c r="S10" s="15">
        <v>0</v>
      </c>
      <c r="T10" s="16"/>
      <c r="U10" s="15"/>
      <c r="V10" s="16"/>
      <c r="W10" s="18" t="s">
        <v>103</v>
      </c>
    </row>
    <row r="11" spans="1:23">
      <c r="A11" s="16" t="s">
        <v>104</v>
      </c>
      <c r="B11" s="16" t="s">
        <v>93</v>
      </c>
      <c r="C11" s="16">
        <v>1418</v>
      </c>
      <c r="D11" s="16">
        <v>2600</v>
      </c>
      <c r="E11" s="16">
        <v>0.54538461540000005</v>
      </c>
      <c r="F11" s="16"/>
      <c r="G11" s="16">
        <v>626</v>
      </c>
      <c r="H11" s="16">
        <v>839.47982760000002</v>
      </c>
      <c r="I11" s="15"/>
      <c r="J11" s="16">
        <v>948</v>
      </c>
      <c r="K11" s="15"/>
      <c r="L11" s="15"/>
      <c r="M11" s="15"/>
      <c r="N11" s="16" t="s">
        <v>105</v>
      </c>
      <c r="O11" s="16" t="s">
        <v>106</v>
      </c>
      <c r="P11" s="15"/>
      <c r="Q11" s="15"/>
      <c r="R11" s="16">
        <v>0.57499999999999996</v>
      </c>
      <c r="S11" s="15">
        <v>221</v>
      </c>
      <c r="T11" s="16"/>
      <c r="U11" s="15"/>
      <c r="V11" s="16"/>
      <c r="W11" s="18" t="s">
        <v>107</v>
      </c>
    </row>
    <row r="12" spans="1:23">
      <c r="A12" s="16" t="s">
        <v>108</v>
      </c>
      <c r="B12" s="16" t="s">
        <v>93</v>
      </c>
      <c r="C12" s="16">
        <v>1455</v>
      </c>
      <c r="D12" s="16">
        <v>2910</v>
      </c>
      <c r="E12" s="16">
        <v>0.5</v>
      </c>
      <c r="F12" s="16"/>
      <c r="G12" s="16">
        <v>388</v>
      </c>
      <c r="H12" s="16">
        <v>520</v>
      </c>
      <c r="I12" s="16">
        <v>230</v>
      </c>
      <c r="J12" s="16">
        <v>635</v>
      </c>
      <c r="K12" s="16" t="s">
        <v>109</v>
      </c>
      <c r="L12" s="15"/>
      <c r="M12" s="15"/>
      <c r="N12" s="15"/>
      <c r="O12" s="15"/>
      <c r="P12" s="15"/>
      <c r="Q12" s="15"/>
      <c r="R12" s="15">
        <v>5.7</v>
      </c>
      <c r="S12" s="15">
        <v>1959</v>
      </c>
      <c r="T12" s="15">
        <v>844</v>
      </c>
      <c r="U12" s="15"/>
      <c r="V12" s="19">
        <v>436191</v>
      </c>
      <c r="W12" s="15"/>
    </row>
    <row r="13" spans="1:23">
      <c r="A13" s="16" t="s">
        <v>110</v>
      </c>
      <c r="B13" s="16" t="s">
        <v>93</v>
      </c>
      <c r="C13" s="16">
        <v>1563</v>
      </c>
      <c r="D13" s="16">
        <v>2980</v>
      </c>
      <c r="E13" s="16">
        <v>0.52449664429999998</v>
      </c>
      <c r="F13" s="16"/>
      <c r="G13" s="16">
        <v>527.95550939999998</v>
      </c>
      <c r="H13" s="16">
        <v>708</v>
      </c>
      <c r="I13" s="15"/>
      <c r="J13" s="16">
        <v>633.38400000000001</v>
      </c>
      <c r="K13" s="15"/>
      <c r="L13" s="15"/>
      <c r="M13" s="15"/>
      <c r="N13" s="16" t="s">
        <v>111</v>
      </c>
      <c r="O13" s="16" t="s">
        <v>112</v>
      </c>
      <c r="P13" s="15"/>
      <c r="Q13" s="16" t="s">
        <v>113</v>
      </c>
      <c r="R13" s="16"/>
      <c r="S13" s="15">
        <v>0</v>
      </c>
      <c r="T13" s="16"/>
      <c r="U13" s="15"/>
      <c r="V13" s="16"/>
      <c r="W13" s="18" t="s">
        <v>114</v>
      </c>
    </row>
    <row r="14" spans="1:23">
      <c r="A14" s="16" t="s">
        <v>115</v>
      </c>
      <c r="B14" s="16" t="s">
        <v>93</v>
      </c>
      <c r="C14" s="16">
        <v>1580</v>
      </c>
      <c r="D14" s="16">
        <v>3000</v>
      </c>
      <c r="E14" s="16">
        <v>0.52666666669999995</v>
      </c>
      <c r="F14" s="16"/>
      <c r="G14" s="16">
        <v>783</v>
      </c>
      <c r="H14" s="16">
        <v>1050</v>
      </c>
      <c r="I14" s="16">
        <v>274</v>
      </c>
      <c r="J14" s="16">
        <v>675</v>
      </c>
      <c r="K14" s="16">
        <v>9</v>
      </c>
      <c r="L14" s="15"/>
      <c r="M14" s="15"/>
      <c r="N14" s="15"/>
      <c r="O14" s="15"/>
      <c r="P14" s="15"/>
      <c r="Q14" s="15"/>
      <c r="R14" s="15"/>
      <c r="S14" s="15">
        <v>0</v>
      </c>
      <c r="T14" s="15"/>
      <c r="U14" s="15"/>
      <c r="V14" s="15"/>
      <c r="W14" s="18" t="s">
        <v>116</v>
      </c>
    </row>
    <row r="15" spans="1:23">
      <c r="A15" s="16" t="s">
        <v>117</v>
      </c>
      <c r="B15" s="16" t="s">
        <v>93</v>
      </c>
      <c r="C15" s="16">
        <v>1590</v>
      </c>
      <c r="D15" s="16">
        <v>2850</v>
      </c>
      <c r="E15" s="16">
        <v>0.55789473680000001</v>
      </c>
      <c r="F15" s="16"/>
      <c r="G15" s="16">
        <v>418</v>
      </c>
      <c r="H15" s="16">
        <v>561</v>
      </c>
      <c r="I15" s="16">
        <v>285</v>
      </c>
      <c r="J15" s="16">
        <v>932</v>
      </c>
      <c r="K15" s="16" t="s">
        <v>118</v>
      </c>
      <c r="L15" s="15"/>
      <c r="M15" s="15"/>
      <c r="N15" s="15"/>
      <c r="O15" s="15"/>
      <c r="P15" s="15"/>
      <c r="Q15" s="15"/>
      <c r="R15" s="17">
        <v>5.15</v>
      </c>
      <c r="S15" s="15">
        <v>1807</v>
      </c>
      <c r="T15" s="15"/>
      <c r="U15" s="15"/>
      <c r="V15" s="15"/>
      <c r="W15" s="18" t="s">
        <v>119</v>
      </c>
    </row>
    <row r="16" spans="1:23">
      <c r="A16" s="16" t="s">
        <v>120</v>
      </c>
      <c r="B16" s="16" t="s">
        <v>93</v>
      </c>
      <c r="C16" s="16">
        <v>1925</v>
      </c>
      <c r="D16" s="16">
        <v>3175</v>
      </c>
      <c r="E16" s="16">
        <v>0.60629921259999997</v>
      </c>
      <c r="F16" s="15"/>
      <c r="G16" s="16">
        <v>466</v>
      </c>
      <c r="H16" s="16">
        <v>730</v>
      </c>
      <c r="I16" s="16">
        <v>273</v>
      </c>
      <c r="J16" s="16">
        <v>722</v>
      </c>
      <c r="K16" s="20" t="s">
        <v>121</v>
      </c>
      <c r="L16" s="15"/>
      <c r="M16" s="15"/>
      <c r="N16" s="15"/>
      <c r="O16" s="15"/>
      <c r="P16" s="15"/>
      <c r="Q16" s="15"/>
      <c r="R16" s="15">
        <v>6.4</v>
      </c>
      <c r="S16" s="15">
        <v>2016</v>
      </c>
      <c r="T16" s="15">
        <v>948</v>
      </c>
      <c r="U16" s="15"/>
      <c r="V16" s="15">
        <v>446861</v>
      </c>
      <c r="W16" s="15"/>
    </row>
    <row r="17" spans="1:23">
      <c r="A17" s="16" t="s">
        <v>122</v>
      </c>
      <c r="B17" s="16" t="s">
        <v>93</v>
      </c>
      <c r="C17" s="16">
        <v>2356</v>
      </c>
      <c r="D17" s="16">
        <v>4300</v>
      </c>
      <c r="E17" s="16">
        <v>0.54790697669999999</v>
      </c>
      <c r="F17" s="16"/>
      <c r="G17" s="16">
        <v>1270</v>
      </c>
      <c r="H17" s="16">
        <v>1703.0980529999999</v>
      </c>
      <c r="I17" s="15"/>
      <c r="J17" s="16">
        <v>800</v>
      </c>
      <c r="K17" s="15"/>
      <c r="L17" s="15"/>
      <c r="M17" s="15"/>
      <c r="N17" s="16" t="s">
        <v>123</v>
      </c>
      <c r="O17" s="16" t="s">
        <v>124</v>
      </c>
      <c r="P17" s="15"/>
      <c r="Q17" s="15"/>
      <c r="R17" s="16"/>
      <c r="S17" s="15">
        <v>0</v>
      </c>
      <c r="T17" s="16"/>
      <c r="U17" s="15"/>
      <c r="V17" s="16"/>
      <c r="W17" s="18" t="s">
        <v>125</v>
      </c>
    </row>
    <row r="18" spans="1:23">
      <c r="A18" s="16" t="s">
        <v>126</v>
      </c>
      <c r="B18" s="16" t="s">
        <v>93</v>
      </c>
      <c r="C18" s="16">
        <v>2365</v>
      </c>
      <c r="D18" s="16">
        <v>4309</v>
      </c>
      <c r="E18" s="16">
        <v>0.54885124159999998</v>
      </c>
      <c r="F18" s="16"/>
      <c r="G18" s="16">
        <v>820</v>
      </c>
      <c r="H18" s="16">
        <v>1100</v>
      </c>
      <c r="I18" s="16">
        <v>201</v>
      </c>
      <c r="J18" s="16">
        <v>507</v>
      </c>
      <c r="K18" s="16" t="s">
        <v>127</v>
      </c>
      <c r="L18" s="15"/>
      <c r="M18" s="15"/>
      <c r="N18" s="15"/>
      <c r="O18" s="15"/>
      <c r="P18" s="15"/>
      <c r="Q18" s="15"/>
      <c r="R18" s="15"/>
      <c r="S18" s="15">
        <v>0</v>
      </c>
      <c r="T18" s="15"/>
      <c r="U18" s="15"/>
      <c r="V18" s="15"/>
      <c r="W18" s="18" t="s">
        <v>128</v>
      </c>
    </row>
    <row r="19" spans="1:23">
      <c r="A19" s="16" t="s">
        <v>129</v>
      </c>
      <c r="B19" s="16" t="s">
        <v>93</v>
      </c>
      <c r="C19" s="16">
        <v>2389</v>
      </c>
      <c r="D19" s="16">
        <v>4300</v>
      </c>
      <c r="E19" s="16">
        <v>0.55558139529999995</v>
      </c>
      <c r="F19" s="16"/>
      <c r="G19" s="16">
        <v>625</v>
      </c>
      <c r="H19" s="16">
        <v>838</v>
      </c>
      <c r="I19" s="16">
        <v>306</v>
      </c>
      <c r="J19" s="16">
        <v>827</v>
      </c>
      <c r="K19" s="16" t="s">
        <v>130</v>
      </c>
      <c r="L19" s="15"/>
      <c r="M19" s="15"/>
      <c r="N19" s="15"/>
      <c r="O19" s="15"/>
      <c r="P19" s="15"/>
      <c r="Q19" s="15"/>
      <c r="R19" s="15"/>
      <c r="S19" s="15">
        <v>0</v>
      </c>
      <c r="T19" s="15"/>
      <c r="U19" s="15"/>
      <c r="V19" s="15"/>
      <c r="W19" s="15"/>
    </row>
    <row r="20" spans="1:23">
      <c r="A20" s="16" t="s">
        <v>131</v>
      </c>
      <c r="B20" s="16" t="s">
        <v>132</v>
      </c>
      <c r="C20" s="16">
        <v>3335</v>
      </c>
      <c r="D20" s="16">
        <v>5500</v>
      </c>
      <c r="E20" s="16">
        <v>0.60636363640000002</v>
      </c>
      <c r="F20" s="16"/>
      <c r="G20" s="16">
        <v>2064</v>
      </c>
      <c r="H20" s="16">
        <v>2767.8695910000001</v>
      </c>
      <c r="I20" s="15"/>
      <c r="J20" s="16">
        <v>659</v>
      </c>
      <c r="K20" s="15"/>
      <c r="L20" s="15"/>
      <c r="M20" s="15"/>
      <c r="N20" s="16" t="s">
        <v>133</v>
      </c>
      <c r="O20" s="16" t="s">
        <v>134</v>
      </c>
      <c r="P20" s="15"/>
      <c r="Q20" s="15"/>
      <c r="R20" s="16"/>
      <c r="S20" s="15">
        <v>0</v>
      </c>
      <c r="T20" s="16"/>
      <c r="U20" s="15"/>
      <c r="V20" s="16"/>
      <c r="W20" s="18" t="s">
        <v>135</v>
      </c>
    </row>
    <row r="21" spans="1:23">
      <c r="A21" s="16" t="s">
        <v>136</v>
      </c>
      <c r="B21" s="16" t="s">
        <v>132</v>
      </c>
      <c r="C21" s="16">
        <v>3536</v>
      </c>
      <c r="D21" s="16">
        <v>7000</v>
      </c>
      <c r="E21" s="16">
        <v>0.50514285709999995</v>
      </c>
      <c r="F21" s="16"/>
      <c r="G21" s="16">
        <v>1175</v>
      </c>
      <c r="H21" s="16">
        <v>1575</v>
      </c>
      <c r="I21" s="16">
        <v>248</v>
      </c>
      <c r="J21" s="16">
        <v>580</v>
      </c>
      <c r="K21" s="16" t="s">
        <v>137</v>
      </c>
      <c r="L21" s="15"/>
      <c r="M21" s="15"/>
      <c r="N21" s="15"/>
      <c r="O21" s="15"/>
      <c r="P21" s="15"/>
      <c r="Q21" s="15"/>
      <c r="R21" s="15"/>
      <c r="S21" s="15">
        <v>0</v>
      </c>
      <c r="T21" s="15"/>
      <c r="U21" s="15"/>
      <c r="V21" s="15"/>
      <c r="W21" s="15"/>
    </row>
    <row r="22" spans="1:23">
      <c r="A22" s="16" t="s">
        <v>138</v>
      </c>
      <c r="B22" s="16" t="s">
        <v>132</v>
      </c>
      <c r="C22" s="16">
        <v>4350</v>
      </c>
      <c r="D22" s="16">
        <v>9000</v>
      </c>
      <c r="E22" s="16">
        <v>0.4833333333</v>
      </c>
      <c r="F22" s="16"/>
      <c r="G22" s="16">
        <v>1185</v>
      </c>
      <c r="H22" s="16">
        <v>1589</v>
      </c>
      <c r="I22" s="16">
        <v>239</v>
      </c>
      <c r="J22" s="16">
        <v>573</v>
      </c>
      <c r="K22" s="16" t="s">
        <v>139</v>
      </c>
      <c r="L22" s="15"/>
      <c r="M22" s="15"/>
      <c r="N22" s="15"/>
      <c r="O22" s="15"/>
      <c r="P22" s="15"/>
      <c r="Q22" s="15"/>
      <c r="R22" s="15"/>
      <c r="S22" s="15">
        <v>0</v>
      </c>
      <c r="T22" s="15"/>
      <c r="U22" s="15"/>
      <c r="V22" s="15"/>
      <c r="W22" s="15"/>
    </row>
    <row r="23" spans="1:23">
      <c r="A23" s="16" t="s">
        <v>140</v>
      </c>
      <c r="B23" s="16" t="s">
        <v>132</v>
      </c>
      <c r="C23" s="16">
        <v>5225</v>
      </c>
      <c r="D23" s="16">
        <v>10659</v>
      </c>
      <c r="E23" s="16">
        <v>0.49019607840000001</v>
      </c>
      <c r="F23" s="16"/>
      <c r="G23" s="16">
        <v>2834</v>
      </c>
      <c r="H23" s="16">
        <v>3800.4566</v>
      </c>
      <c r="I23" s="15"/>
      <c r="J23" s="16">
        <v>591</v>
      </c>
      <c r="K23" s="15"/>
      <c r="L23" s="15"/>
      <c r="M23" s="15"/>
      <c r="N23" s="16" t="s">
        <v>141</v>
      </c>
      <c r="O23" s="16" t="s">
        <v>142</v>
      </c>
      <c r="P23" s="15"/>
      <c r="Q23" s="15"/>
      <c r="R23" s="15">
        <v>25.7</v>
      </c>
      <c r="S23" s="15">
        <v>2411</v>
      </c>
      <c r="T23" s="15">
        <v>2749.13</v>
      </c>
      <c r="U23" s="15"/>
      <c r="V23" s="16"/>
      <c r="W23" s="18" t="s">
        <v>143</v>
      </c>
    </row>
    <row r="24" spans="1:23">
      <c r="A24" s="16" t="s">
        <v>144</v>
      </c>
      <c r="B24" s="16" t="s">
        <v>132</v>
      </c>
      <c r="C24" s="16">
        <v>6387</v>
      </c>
      <c r="D24" s="16">
        <v>9707</v>
      </c>
      <c r="E24" s="16">
        <v>0.65797877819999995</v>
      </c>
      <c r="F24" s="16"/>
      <c r="G24" s="16">
        <v>1238</v>
      </c>
      <c r="H24" s="16">
        <v>1660</v>
      </c>
      <c r="I24" s="16">
        <v>208</v>
      </c>
      <c r="J24" s="16">
        <v>1230</v>
      </c>
      <c r="K24" s="16" t="s">
        <v>145</v>
      </c>
      <c r="L24" s="15"/>
      <c r="M24" s="15"/>
      <c r="N24" s="15"/>
      <c r="O24" s="15"/>
      <c r="P24" s="15"/>
      <c r="Q24" s="15"/>
      <c r="R24" s="15"/>
      <c r="S24" s="15">
        <v>0</v>
      </c>
      <c r="T24" s="15"/>
      <c r="U24" s="15"/>
      <c r="V24" s="15"/>
      <c r="W24" s="15"/>
    </row>
    <row r="25" spans="1:23">
      <c r="A25" s="16" t="s">
        <v>146</v>
      </c>
      <c r="B25" s="16" t="s">
        <v>132</v>
      </c>
      <c r="C25" s="16">
        <v>6895</v>
      </c>
      <c r="D25" s="16">
        <v>10400</v>
      </c>
      <c r="E25" s="16">
        <v>0.66298076920000004</v>
      </c>
      <c r="F25" s="16">
        <v>0.54105223069999997</v>
      </c>
      <c r="G25" s="16">
        <v>1410</v>
      </c>
      <c r="H25" s="16">
        <v>1890</v>
      </c>
      <c r="I25" s="16">
        <v>270</v>
      </c>
      <c r="J25" s="16">
        <v>834</v>
      </c>
      <c r="K25" s="16" t="s">
        <v>147</v>
      </c>
      <c r="L25" s="15"/>
      <c r="M25" s="15"/>
      <c r="N25" s="15"/>
      <c r="O25" s="15"/>
      <c r="P25" s="15"/>
      <c r="Q25" s="15"/>
      <c r="R25" s="15"/>
      <c r="S25" s="15">
        <v>0</v>
      </c>
      <c r="T25" s="15"/>
      <c r="U25" s="15"/>
      <c r="V25" s="15"/>
      <c r="W25" s="15"/>
    </row>
    <row r="26" spans="1:23">
      <c r="A26" s="16" t="s">
        <v>148</v>
      </c>
      <c r="B26" s="16" t="s">
        <v>149</v>
      </c>
      <c r="C26" s="16">
        <v>9736</v>
      </c>
      <c r="D26" s="17">
        <v>17463</v>
      </c>
      <c r="E26" s="16">
        <v>0.55752161710000003</v>
      </c>
      <c r="F26" s="16"/>
      <c r="G26" s="16">
        <v>5592</v>
      </c>
      <c r="H26" s="16">
        <v>7498.9955209999998</v>
      </c>
      <c r="I26" s="15"/>
      <c r="J26" s="16">
        <v>426</v>
      </c>
      <c r="K26" s="15"/>
      <c r="L26" s="15"/>
      <c r="M26" s="16">
        <v>3000</v>
      </c>
      <c r="N26" s="16" t="s">
        <v>150</v>
      </c>
      <c r="O26" s="16" t="s">
        <v>151</v>
      </c>
      <c r="P26" s="15"/>
      <c r="Q26" s="15"/>
      <c r="R26" s="16">
        <v>23.2</v>
      </c>
      <c r="S26" s="15">
        <v>1329</v>
      </c>
      <c r="T26" s="16"/>
      <c r="U26" s="15"/>
      <c r="V26" s="16"/>
      <c r="W26" s="18" t="s">
        <v>152</v>
      </c>
    </row>
    <row r="27" spans="1:23">
      <c r="A27" s="16" t="s">
        <v>153</v>
      </c>
      <c r="B27" s="16" t="s">
        <v>149</v>
      </c>
      <c r="C27" s="16">
        <v>7047</v>
      </c>
      <c r="D27" s="17">
        <v>11022</v>
      </c>
      <c r="E27" s="16">
        <v>0.63935764829999997</v>
      </c>
      <c r="F27" s="16"/>
      <c r="G27" s="16">
        <v>2800</v>
      </c>
      <c r="H27" s="16">
        <v>3754.8618489999999</v>
      </c>
      <c r="I27" s="15"/>
      <c r="J27" s="16">
        <v>667</v>
      </c>
      <c r="K27" s="15"/>
      <c r="L27" s="15"/>
      <c r="M27" s="15"/>
      <c r="N27" s="16" t="s">
        <v>154</v>
      </c>
      <c r="O27" s="16" t="s">
        <v>155</v>
      </c>
      <c r="P27" s="15"/>
      <c r="Q27" s="15"/>
      <c r="R27" s="15"/>
      <c r="S27" s="15">
        <v>0</v>
      </c>
      <c r="T27" s="15"/>
      <c r="U27" s="15"/>
      <c r="V27" s="15"/>
      <c r="W27" s="15"/>
    </row>
    <row r="28" spans="1:23">
      <c r="A28" s="16" t="s">
        <v>156</v>
      </c>
      <c r="B28" s="16" t="s">
        <v>149</v>
      </c>
      <c r="C28" s="16">
        <v>5028</v>
      </c>
      <c r="D28" s="17">
        <v>8600</v>
      </c>
      <c r="E28" s="16">
        <v>0.58465116279999996</v>
      </c>
      <c r="F28" s="16"/>
      <c r="G28" s="16">
        <v>2184</v>
      </c>
      <c r="H28" s="16">
        <v>2928.792242</v>
      </c>
      <c r="I28" s="15"/>
      <c r="J28" s="16">
        <v>741</v>
      </c>
      <c r="K28" s="15"/>
      <c r="L28" s="15"/>
      <c r="M28" s="15"/>
      <c r="N28" s="16" t="s">
        <v>157</v>
      </c>
      <c r="O28" s="15"/>
      <c r="P28" s="15"/>
      <c r="Q28" s="15">
        <v>0</v>
      </c>
      <c r="R28" s="15"/>
      <c r="S28" s="15"/>
      <c r="T28" s="15"/>
      <c r="U28" s="15"/>
    </row>
    <row r="29" spans="1:23">
      <c r="A29" s="16" t="s">
        <v>158</v>
      </c>
      <c r="B29" s="16" t="s">
        <v>149</v>
      </c>
      <c r="C29" s="16">
        <v>3629</v>
      </c>
      <c r="D29" s="17">
        <v>6668</v>
      </c>
      <c r="E29" s="16">
        <v>0.54424115179999999</v>
      </c>
      <c r="F29" s="16"/>
      <c r="G29" s="16">
        <v>1063</v>
      </c>
      <c r="H29" s="16">
        <v>1425.50648</v>
      </c>
      <c r="I29" s="15"/>
      <c r="J29" s="16">
        <v>644</v>
      </c>
      <c r="K29" s="15"/>
      <c r="L29" s="15"/>
      <c r="M29" s="15"/>
      <c r="N29" s="15"/>
      <c r="O29" s="16" t="s">
        <v>159</v>
      </c>
      <c r="P29" s="15"/>
      <c r="Q29" s="15"/>
      <c r="R29" s="16"/>
      <c r="S29" s="15">
        <v>0</v>
      </c>
      <c r="T29" s="16"/>
      <c r="U29" s="15"/>
      <c r="V29" s="16"/>
      <c r="W29" s="18" t="s">
        <v>160</v>
      </c>
    </row>
    <row r="30" spans="1:23">
      <c r="A30" s="16" t="s">
        <v>29</v>
      </c>
      <c r="B30" s="16" t="s">
        <v>149</v>
      </c>
      <c r="C30" s="16">
        <v>1782</v>
      </c>
      <c r="D30" s="17">
        <v>2767</v>
      </c>
      <c r="E30" s="16">
        <v>0.64401879289999997</v>
      </c>
      <c r="F30" s="16"/>
      <c r="G30" s="16">
        <v>410</v>
      </c>
      <c r="H30" s="16">
        <v>549.81905640000002</v>
      </c>
      <c r="I30" s="15"/>
      <c r="J30" s="16">
        <v>546</v>
      </c>
      <c r="K30" s="15"/>
      <c r="L30" s="15"/>
      <c r="M30" s="15"/>
      <c r="N30" s="15"/>
      <c r="O30" s="15"/>
      <c r="P30" s="15"/>
      <c r="Q30" s="15"/>
      <c r="R30" s="16"/>
      <c r="S30" s="15">
        <v>0</v>
      </c>
      <c r="T30" s="16"/>
      <c r="U30" s="15"/>
      <c r="V30" s="16"/>
      <c r="W30" s="18" t="s">
        <v>161</v>
      </c>
    </row>
    <row r="31" spans="1:23">
      <c r="A31" s="16" t="s">
        <v>162</v>
      </c>
      <c r="B31" s="16" t="s">
        <v>149</v>
      </c>
      <c r="C31" s="16">
        <v>10607</v>
      </c>
      <c r="D31" s="17">
        <v>15830</v>
      </c>
      <c r="E31" s="16">
        <v>0.67005685410000004</v>
      </c>
      <c r="F31" s="16">
        <v>0.60664120450000003</v>
      </c>
      <c r="G31" s="16">
        <v>2536</v>
      </c>
      <c r="H31" s="16">
        <v>3400.8320170000002</v>
      </c>
      <c r="I31" s="15"/>
      <c r="J31" s="16">
        <v>267</v>
      </c>
      <c r="K31" s="15"/>
      <c r="L31" s="15"/>
      <c r="M31" s="15"/>
      <c r="N31" s="15"/>
      <c r="O31" s="16" t="s">
        <v>163</v>
      </c>
      <c r="P31" s="15"/>
      <c r="Q31" s="15"/>
      <c r="R31" s="15"/>
      <c r="S31" s="15">
        <v>0</v>
      </c>
      <c r="T31" s="15"/>
      <c r="U31" s="15"/>
      <c r="V31" s="15"/>
      <c r="W31" s="15"/>
    </row>
    <row r="32" spans="1:23">
      <c r="A32" s="17" t="s">
        <v>164</v>
      </c>
      <c r="B32" s="16" t="s">
        <v>165</v>
      </c>
      <c r="C32" s="16">
        <v>2334</v>
      </c>
      <c r="D32" s="16">
        <v>5443</v>
      </c>
      <c r="E32" s="16">
        <v>0.4288076428</v>
      </c>
      <c r="F32" s="16"/>
      <c r="G32" s="16">
        <v>1342.2597699999999</v>
      </c>
      <c r="H32" s="16">
        <v>1800</v>
      </c>
      <c r="I32" s="15"/>
      <c r="J32" s="16">
        <v>495</v>
      </c>
      <c r="K32" s="15"/>
      <c r="L32" s="15"/>
      <c r="M32" s="15"/>
      <c r="N32" s="16" t="s">
        <v>166</v>
      </c>
      <c r="O32" s="16" t="s">
        <v>106</v>
      </c>
      <c r="P32" s="15"/>
      <c r="Q32" s="15"/>
      <c r="R32" s="16">
        <v>7.5</v>
      </c>
      <c r="S32" s="15">
        <v>1378</v>
      </c>
      <c r="T32" s="16">
        <v>1494</v>
      </c>
      <c r="U32" s="15"/>
      <c r="V32" s="16">
        <v>324138</v>
      </c>
      <c r="W32" s="18" t="s">
        <v>167</v>
      </c>
    </row>
    <row r="33" spans="1:23">
      <c r="A33" s="17" t="s">
        <v>168</v>
      </c>
      <c r="B33" s="16" t="s">
        <v>165</v>
      </c>
      <c r="C33" s="16">
        <v>2015</v>
      </c>
      <c r="D33" s="16">
        <v>4210</v>
      </c>
      <c r="E33" s="16">
        <v>0.47862232780000002</v>
      </c>
      <c r="F33" s="16"/>
      <c r="G33" s="16">
        <v>641</v>
      </c>
      <c r="H33" s="16">
        <v>820</v>
      </c>
      <c r="I33" s="16"/>
      <c r="J33" s="16">
        <v>298</v>
      </c>
      <c r="K33" s="15"/>
      <c r="L33" s="15"/>
      <c r="M33" s="15"/>
      <c r="N33" s="16" t="s">
        <v>169</v>
      </c>
      <c r="O33" s="16" t="s">
        <v>170</v>
      </c>
      <c r="P33" s="15"/>
      <c r="Q33" s="15"/>
      <c r="R33" s="16"/>
      <c r="S33" s="15">
        <v>0</v>
      </c>
      <c r="T33" s="16"/>
      <c r="U33" s="15"/>
      <c r="V33" s="16"/>
      <c r="W33" s="18" t="s">
        <v>171</v>
      </c>
    </row>
    <row r="34" spans="1:23">
      <c r="A34" s="16" t="s">
        <v>172</v>
      </c>
      <c r="B34" s="16" t="s">
        <v>165</v>
      </c>
      <c r="C34" s="16">
        <v>4340</v>
      </c>
      <c r="D34" s="16">
        <v>8600</v>
      </c>
      <c r="E34" s="16">
        <v>0.5046511628</v>
      </c>
      <c r="F34" s="16">
        <v>0.47069371110000002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>
        <v>0</v>
      </c>
      <c r="T34" s="15"/>
      <c r="U34" s="15"/>
      <c r="V34" s="15"/>
      <c r="W34" s="15"/>
    </row>
    <row r="35" spans="1:23">
      <c r="A35" s="15" t="s">
        <v>173</v>
      </c>
      <c r="B35" s="15" t="s">
        <v>93</v>
      </c>
      <c r="C35" s="15"/>
      <c r="D35" s="15">
        <v>2018</v>
      </c>
      <c r="E35" s="15"/>
      <c r="F35" s="15"/>
      <c r="G35" s="15"/>
      <c r="H35" s="15"/>
      <c r="I35" s="15">
        <v>206</v>
      </c>
      <c r="J35" s="15">
        <v>171</v>
      </c>
      <c r="K35" s="15"/>
      <c r="L35" s="15"/>
      <c r="M35" s="15"/>
      <c r="N35" s="15"/>
      <c r="O35" s="15" t="s">
        <v>174</v>
      </c>
      <c r="P35" s="15"/>
      <c r="Q35" s="15"/>
      <c r="R35" s="15">
        <v>1.7</v>
      </c>
      <c r="S35" s="15">
        <v>842</v>
      </c>
      <c r="T35" s="15">
        <v>796</v>
      </c>
      <c r="U35" s="15">
        <v>203</v>
      </c>
      <c r="V35" s="15">
        <v>409021</v>
      </c>
      <c r="W35" s="18" t="s">
        <v>175</v>
      </c>
    </row>
    <row r="36" spans="1:23">
      <c r="A36" s="15" t="s">
        <v>176</v>
      </c>
      <c r="B36" s="15" t="s">
        <v>93</v>
      </c>
      <c r="C36" s="15"/>
      <c r="D36" s="15">
        <v>1451</v>
      </c>
      <c r="E36" s="15"/>
      <c r="F36" s="15"/>
      <c r="G36" s="15"/>
      <c r="H36" s="15"/>
      <c r="I36" s="15">
        <v>219</v>
      </c>
      <c r="J36" s="15">
        <v>435</v>
      </c>
      <c r="K36" s="15"/>
      <c r="L36" s="15"/>
      <c r="M36" s="15"/>
      <c r="N36" s="15"/>
      <c r="O36" s="15" t="s">
        <v>97</v>
      </c>
      <c r="P36" s="15"/>
      <c r="Q36" s="15"/>
      <c r="R36" s="15">
        <v>1.5</v>
      </c>
      <c r="S36" s="15">
        <v>1034</v>
      </c>
      <c r="T36" s="15">
        <v>505</v>
      </c>
      <c r="U36" s="15">
        <v>182</v>
      </c>
      <c r="V36" s="15">
        <v>264481</v>
      </c>
      <c r="W36" s="18" t="s">
        <v>177</v>
      </c>
    </row>
    <row r="37" spans="1:23">
      <c r="A37" s="15" t="s">
        <v>178</v>
      </c>
      <c r="B37" s="15" t="s">
        <v>93</v>
      </c>
      <c r="C37" s="15"/>
      <c r="D37" s="15">
        <v>5080</v>
      </c>
      <c r="E37" s="15"/>
      <c r="F37" s="15"/>
      <c r="G37" s="15"/>
      <c r="H37" s="15"/>
      <c r="I37" s="15">
        <v>206</v>
      </c>
      <c r="J37" s="15">
        <v>261</v>
      </c>
      <c r="K37" s="15"/>
      <c r="L37" s="15"/>
      <c r="M37" s="15"/>
      <c r="N37" s="15"/>
      <c r="O37" s="15" t="s">
        <v>179</v>
      </c>
      <c r="P37" s="15"/>
      <c r="Q37" s="15"/>
      <c r="R37" s="15">
        <v>4.9000000000000004</v>
      </c>
      <c r="S37" s="15">
        <v>965</v>
      </c>
      <c r="T37" s="15">
        <v>1401</v>
      </c>
      <c r="U37" s="15">
        <v>97</v>
      </c>
      <c r="V37" s="15">
        <v>492131</v>
      </c>
      <c r="W37" s="18" t="s">
        <v>180</v>
      </c>
    </row>
    <row r="38" spans="1:23">
      <c r="A38" s="15" t="s">
        <v>181</v>
      </c>
      <c r="B38" s="15" t="s">
        <v>93</v>
      </c>
      <c r="C38" s="15"/>
      <c r="D38" s="15">
        <v>3810</v>
      </c>
      <c r="E38" s="15"/>
      <c r="F38" s="15"/>
      <c r="G38" s="15"/>
      <c r="H38" s="15"/>
      <c r="I38" s="15">
        <v>274</v>
      </c>
      <c r="J38" s="15">
        <v>472</v>
      </c>
      <c r="K38" s="15"/>
      <c r="L38" s="15"/>
      <c r="M38" s="15"/>
      <c r="N38" s="15"/>
      <c r="O38" s="15" t="s">
        <v>182</v>
      </c>
      <c r="P38" s="15"/>
      <c r="Q38" s="15"/>
      <c r="R38" s="15">
        <v>3.7</v>
      </c>
      <c r="S38" s="15">
        <v>971</v>
      </c>
      <c r="T38" s="15">
        <v>1548</v>
      </c>
      <c r="U38" s="15">
        <v>112</v>
      </c>
      <c r="V38" s="15">
        <v>426161</v>
      </c>
      <c r="W38" s="18" t="s">
        <v>183</v>
      </c>
    </row>
    <row r="39" spans="1:23">
      <c r="A39" s="15" t="s">
        <v>184</v>
      </c>
      <c r="B39" s="15" t="s">
        <v>93</v>
      </c>
      <c r="C39" s="15"/>
      <c r="D39" s="15">
        <v>2381</v>
      </c>
      <c r="E39" s="15"/>
      <c r="F39" s="15"/>
      <c r="G39" s="15"/>
      <c r="H39" s="15"/>
      <c r="I39" s="15">
        <v>244</v>
      </c>
      <c r="J39" s="15"/>
      <c r="K39" s="15"/>
      <c r="L39" s="15"/>
      <c r="M39" s="15"/>
      <c r="N39" s="15"/>
      <c r="O39" s="15" t="s">
        <v>185</v>
      </c>
      <c r="P39" s="15"/>
      <c r="Q39" s="15"/>
      <c r="R39" s="15">
        <v>3.1</v>
      </c>
      <c r="S39" s="15">
        <v>1302</v>
      </c>
      <c r="T39" s="15">
        <v>617</v>
      </c>
      <c r="U39" s="15">
        <v>132</v>
      </c>
      <c r="V39" s="15">
        <v>315151</v>
      </c>
      <c r="W39" s="18" t="s">
        <v>186</v>
      </c>
    </row>
    <row r="40" spans="1:23">
      <c r="A40" s="15" t="s">
        <v>187</v>
      </c>
      <c r="B40" s="15" t="s">
        <v>93</v>
      </c>
      <c r="C40" s="15"/>
      <c r="D40" s="15">
        <v>2600</v>
      </c>
      <c r="E40" s="15"/>
      <c r="F40" s="15"/>
      <c r="G40" s="15"/>
      <c r="H40" s="15"/>
      <c r="I40" s="15">
        <v>222</v>
      </c>
      <c r="J40" s="15">
        <v>507</v>
      </c>
      <c r="K40" s="15"/>
      <c r="L40" s="15"/>
      <c r="M40" s="15"/>
      <c r="N40" s="15"/>
      <c r="O40" s="15" t="s">
        <v>188</v>
      </c>
      <c r="P40" s="15"/>
      <c r="Q40" s="15"/>
      <c r="R40" s="15">
        <v>3.9</v>
      </c>
      <c r="S40" s="15">
        <v>1500</v>
      </c>
      <c r="T40" s="15">
        <v>935</v>
      </c>
      <c r="U40" s="15">
        <v>133</v>
      </c>
      <c r="V40" s="15">
        <v>344771</v>
      </c>
      <c r="W40" s="18" t="s">
        <v>189</v>
      </c>
    </row>
    <row r="41" spans="1:23">
      <c r="A41" s="15" t="s">
        <v>190</v>
      </c>
      <c r="B41" s="15" t="s">
        <v>93</v>
      </c>
      <c r="C41" s="15"/>
      <c r="D41" s="15">
        <v>2850</v>
      </c>
      <c r="E41" s="15"/>
      <c r="F41" s="15"/>
      <c r="G41" s="15"/>
      <c r="H41" s="15"/>
      <c r="I41" s="15">
        <v>259</v>
      </c>
      <c r="J41" s="15">
        <v>612</v>
      </c>
      <c r="K41" s="15"/>
      <c r="L41" s="15"/>
      <c r="M41" s="15"/>
      <c r="N41" s="15"/>
      <c r="O41" s="15" t="s">
        <v>191</v>
      </c>
      <c r="P41" s="15"/>
      <c r="Q41" s="15"/>
      <c r="R41" s="15">
        <v>3.1</v>
      </c>
      <c r="S41" s="15">
        <v>1088</v>
      </c>
      <c r="T41" s="15">
        <v>868</v>
      </c>
      <c r="U41" s="15">
        <v>111</v>
      </c>
      <c r="V41" s="15">
        <v>315901</v>
      </c>
      <c r="W41" s="18" t="s">
        <v>192</v>
      </c>
    </row>
    <row r="42" spans="1:2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>
        <v>1100</v>
      </c>
      <c r="T42" s="15">
        <v>952.85714289999999</v>
      </c>
      <c r="U42" s="15"/>
      <c r="V42" s="15">
        <v>174.66782309999999</v>
      </c>
      <c r="W42" s="15">
        <v>1127.5249659999999</v>
      </c>
    </row>
  </sheetData>
  <hyperlinks>
    <hyperlink ref="V2" r:id="rId1"/>
    <hyperlink ref="W4" r:id="rId2"/>
    <hyperlink ref="W8" r:id="rId3"/>
    <hyperlink ref="W10" r:id="rId4"/>
    <hyperlink ref="W11" r:id="rId5"/>
    <hyperlink ref="W13" r:id="rId6"/>
    <hyperlink ref="W14" r:id="rId7"/>
    <hyperlink ref="W15" r:id="rId8"/>
    <hyperlink ref="W17" r:id="rId9"/>
    <hyperlink ref="W18" r:id="rId10"/>
    <hyperlink ref="W20" r:id="rId11"/>
    <hyperlink ref="W23" r:id="rId12"/>
    <hyperlink ref="W26" r:id="rId13"/>
    <hyperlink ref="W29" r:id="rId14"/>
    <hyperlink ref="W30" r:id="rId15"/>
    <hyperlink ref="W32" r:id="rId16"/>
    <hyperlink ref="W33" r:id="rId17"/>
    <hyperlink ref="W35" r:id="rId18"/>
    <hyperlink ref="W36" r:id="rId19"/>
    <hyperlink ref="W37" r:id="rId20" display="https://www.bjtonline.com/aircraft/bell-212"/>
    <hyperlink ref="W38" r:id="rId21"/>
    <hyperlink ref="W39" r:id="rId22"/>
    <hyperlink ref="W40" r:id="rId23"/>
    <hyperlink ref="W41" r:id="rId2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opLeftCell="A17" zoomScale="75" zoomScaleNormal="165" workbookViewId="0">
      <selection activeCell="B57" sqref="B57"/>
    </sheetView>
  </sheetViews>
  <sheetFormatPr defaultColWidth="11" defaultRowHeight="15.75"/>
  <sheetData>
    <row r="2" spans="14:14">
      <c r="N2" t="s">
        <v>14</v>
      </c>
    </row>
    <row r="19" spans="1:14">
      <c r="N19" t="s">
        <v>15</v>
      </c>
    </row>
    <row r="32" spans="1:14">
      <c r="A32" s="7" t="s">
        <v>23</v>
      </c>
    </row>
    <row r="33" spans="1:1">
      <c r="A33" s="8" t="s">
        <v>24</v>
      </c>
    </row>
    <row r="57" spans="2:2">
      <c r="B57" t="s">
        <v>27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24"/>
  <sheetViews>
    <sheetView zoomScale="175" zoomScaleNormal="100" workbookViewId="0">
      <pane xSplit="1" topLeftCell="B1" activePane="topRight" state="frozen"/>
      <selection pane="topRight" activeCell="E15" sqref="E15"/>
    </sheetView>
  </sheetViews>
  <sheetFormatPr defaultColWidth="11" defaultRowHeight="15.75"/>
  <cols>
    <col min="1" max="1" width="16" bestFit="1" customWidth="1"/>
    <col min="3" max="3" width="11.625" bestFit="1" customWidth="1"/>
    <col min="6" max="6" width="12" bestFit="1" customWidth="1"/>
  </cols>
  <sheetData>
    <row r="4" spans="1:24">
      <c r="B4" t="s">
        <v>200</v>
      </c>
      <c r="C4" t="s">
        <v>93</v>
      </c>
      <c r="D4" t="s">
        <v>201</v>
      </c>
      <c r="E4" t="s">
        <v>149</v>
      </c>
      <c r="F4" t="s">
        <v>165</v>
      </c>
      <c r="H4" t="s">
        <v>200</v>
      </c>
      <c r="I4" t="s">
        <v>93</v>
      </c>
      <c r="J4" t="s">
        <v>201</v>
      </c>
      <c r="K4" t="s">
        <v>149</v>
      </c>
      <c r="L4" t="s">
        <v>165</v>
      </c>
      <c r="N4" t="s">
        <v>200</v>
      </c>
      <c r="O4" t="s">
        <v>93</v>
      </c>
      <c r="P4" t="s">
        <v>201</v>
      </c>
      <c r="Q4" t="s">
        <v>149</v>
      </c>
      <c r="R4" t="s">
        <v>165</v>
      </c>
    </row>
    <row r="5" spans="1:24">
      <c r="A5" t="s">
        <v>234</v>
      </c>
      <c r="B5">
        <v>27.2</v>
      </c>
      <c r="C5">
        <v>1</v>
      </c>
      <c r="D5">
        <v>5</v>
      </c>
      <c r="E5">
        <v>4</v>
      </c>
      <c r="F5">
        <v>4</v>
      </c>
      <c r="H5" s="24">
        <f>100/7</f>
        <v>14.285714285714286</v>
      </c>
      <c r="I5">
        <v>1</v>
      </c>
      <c r="J5">
        <v>5</v>
      </c>
      <c r="K5">
        <v>4</v>
      </c>
      <c r="L5">
        <v>4</v>
      </c>
      <c r="N5">
        <v>27.2</v>
      </c>
      <c r="O5">
        <v>1</v>
      </c>
      <c r="P5">
        <v>5</v>
      </c>
      <c r="Q5">
        <v>4</v>
      </c>
      <c r="R5">
        <v>4</v>
      </c>
    </row>
    <row r="6" spans="1:24">
      <c r="A6" t="s">
        <v>235</v>
      </c>
      <c r="B6">
        <v>24.4</v>
      </c>
      <c r="C6">
        <v>2</v>
      </c>
      <c r="D6">
        <v>5</v>
      </c>
      <c r="E6">
        <v>4</v>
      </c>
      <c r="F6">
        <v>3</v>
      </c>
      <c r="H6" s="24">
        <f t="shared" ref="H6:H11" si="0">100/7</f>
        <v>14.285714285714286</v>
      </c>
      <c r="I6">
        <v>2</v>
      </c>
      <c r="J6">
        <v>5</v>
      </c>
      <c r="K6">
        <v>3</v>
      </c>
      <c r="L6">
        <v>4</v>
      </c>
      <c r="N6">
        <v>24.4</v>
      </c>
      <c r="O6">
        <v>3</v>
      </c>
      <c r="P6">
        <v>5</v>
      </c>
      <c r="Q6">
        <v>2</v>
      </c>
      <c r="R6">
        <v>4</v>
      </c>
    </row>
    <row r="7" spans="1:24">
      <c r="A7" t="s">
        <v>236</v>
      </c>
      <c r="B7">
        <v>14</v>
      </c>
      <c r="C7">
        <v>2</v>
      </c>
      <c r="D7">
        <v>4</v>
      </c>
      <c r="E7">
        <v>3</v>
      </c>
      <c r="F7">
        <v>3</v>
      </c>
      <c r="H7" s="24">
        <f t="shared" si="0"/>
        <v>14.285714285714286</v>
      </c>
      <c r="I7">
        <v>2</v>
      </c>
      <c r="J7">
        <v>4</v>
      </c>
      <c r="K7">
        <v>3</v>
      </c>
      <c r="L7">
        <v>3</v>
      </c>
      <c r="N7">
        <v>14</v>
      </c>
      <c r="O7">
        <v>3</v>
      </c>
      <c r="P7">
        <v>4</v>
      </c>
      <c r="Q7">
        <v>2</v>
      </c>
      <c r="R7">
        <v>2</v>
      </c>
    </row>
    <row r="8" spans="1:24">
      <c r="A8" t="s">
        <v>237</v>
      </c>
      <c r="B8">
        <v>13.3</v>
      </c>
      <c r="C8">
        <v>2</v>
      </c>
      <c r="D8">
        <v>4</v>
      </c>
      <c r="E8">
        <v>4</v>
      </c>
      <c r="F8">
        <v>3</v>
      </c>
      <c r="H8" s="24">
        <f t="shared" si="0"/>
        <v>14.285714285714286</v>
      </c>
      <c r="I8">
        <v>2</v>
      </c>
      <c r="J8">
        <v>4</v>
      </c>
      <c r="K8">
        <v>4</v>
      </c>
      <c r="L8">
        <v>3</v>
      </c>
      <c r="N8">
        <v>13.3</v>
      </c>
      <c r="O8">
        <v>3</v>
      </c>
      <c r="P8">
        <v>4</v>
      </c>
      <c r="Q8">
        <v>4</v>
      </c>
      <c r="R8">
        <v>2</v>
      </c>
    </row>
    <row r="9" spans="1:24">
      <c r="A9" t="s">
        <v>238</v>
      </c>
      <c r="B9">
        <v>9.5</v>
      </c>
      <c r="C9">
        <v>5</v>
      </c>
      <c r="D9">
        <v>2</v>
      </c>
      <c r="E9">
        <v>3</v>
      </c>
      <c r="F9">
        <v>4</v>
      </c>
      <c r="H9" s="24">
        <f t="shared" si="0"/>
        <v>14.285714285714286</v>
      </c>
      <c r="I9">
        <v>5</v>
      </c>
      <c r="J9">
        <v>2</v>
      </c>
      <c r="K9">
        <v>3</v>
      </c>
      <c r="L9">
        <v>4</v>
      </c>
      <c r="N9">
        <v>9.5</v>
      </c>
      <c r="O9">
        <v>5</v>
      </c>
      <c r="P9">
        <v>3</v>
      </c>
      <c r="Q9">
        <v>2</v>
      </c>
      <c r="R9">
        <v>4</v>
      </c>
    </row>
    <row r="10" spans="1:24">
      <c r="A10" t="s">
        <v>239</v>
      </c>
      <c r="B10">
        <v>4.7</v>
      </c>
      <c r="C10">
        <v>3</v>
      </c>
      <c r="D10">
        <v>2</v>
      </c>
      <c r="E10">
        <v>2</v>
      </c>
      <c r="F10">
        <v>3</v>
      </c>
      <c r="H10" s="24">
        <f t="shared" si="0"/>
        <v>14.285714285714286</v>
      </c>
      <c r="I10">
        <v>3</v>
      </c>
      <c r="J10">
        <v>2</v>
      </c>
      <c r="K10">
        <v>2</v>
      </c>
      <c r="L10">
        <v>3</v>
      </c>
      <c r="N10">
        <v>4.7</v>
      </c>
      <c r="O10">
        <v>3</v>
      </c>
      <c r="P10">
        <v>3</v>
      </c>
      <c r="Q10">
        <v>3</v>
      </c>
      <c r="R10">
        <v>2</v>
      </c>
    </row>
    <row r="11" spans="1:24">
      <c r="A11" t="s">
        <v>240</v>
      </c>
      <c r="B11">
        <v>6.9</v>
      </c>
      <c r="C11">
        <v>4</v>
      </c>
      <c r="D11">
        <v>3</v>
      </c>
      <c r="E11">
        <v>3</v>
      </c>
      <c r="F11">
        <v>3</v>
      </c>
      <c r="H11" s="24">
        <f t="shared" si="0"/>
        <v>14.285714285714286</v>
      </c>
      <c r="I11">
        <v>4</v>
      </c>
      <c r="J11">
        <v>3</v>
      </c>
      <c r="K11">
        <v>3</v>
      </c>
      <c r="L11">
        <v>3</v>
      </c>
      <c r="N11">
        <v>6.9</v>
      </c>
      <c r="O11">
        <v>4</v>
      </c>
      <c r="P11">
        <v>2</v>
      </c>
      <c r="Q11">
        <v>2</v>
      </c>
      <c r="R11">
        <v>2</v>
      </c>
    </row>
    <row r="12" spans="1:24">
      <c r="C12" s="23">
        <f>($B$5*C5+$B$6*C6+$B$7*C7+$B$8*C8+$B$9*C9+$B$10*C10+$B$11*C11)/100</f>
        <v>2.198</v>
      </c>
      <c r="D12" s="23">
        <f t="shared" ref="D12:F12" si="1">($B$5*D5+$B$6*D6+$B$7*D7+$B$8*D8+$B$9*D9+$B$10*D10+$B$11*D11)/100</f>
        <v>4.1629999999999994</v>
      </c>
      <c r="E12" s="23">
        <f t="shared" si="1"/>
        <v>3.6019999999999994</v>
      </c>
      <c r="F12" s="23">
        <f t="shared" si="1"/>
        <v>3.367</v>
      </c>
      <c r="I12" s="23">
        <f>($H$5*I5+$H$6*I6+$H$7*I7+$H$8*I8+$H$9*I9+$H$10*I10+$H$11*I11)/100</f>
        <v>2.7142857142857144</v>
      </c>
      <c r="J12" s="23">
        <f>($H$5*J5+$H$6*J6+$H$7*J7+$H$8*J8+$H$9*J9+$H$10*J10+$H$11*J11)/100</f>
        <v>3.5714285714285712</v>
      </c>
      <c r="K12" s="23">
        <f t="shared" ref="K12:L12" si="2">($H$5*K5+$H$6*K6+$H$7*K7+$H$8*K8+$H$9*K9+$H$10*K10+$H$11*K11)/100</f>
        <v>3.1428571428571432</v>
      </c>
      <c r="L12" s="23">
        <f t="shared" si="2"/>
        <v>3.4285714285714288</v>
      </c>
      <c r="O12" s="23">
        <f>($N$5*O5+$N$6*O6+$N$7*O7+$N$8*O8+$N$9*O9+$N$10*O10+$N$11*O11)/100</f>
        <v>2.7149999999999999</v>
      </c>
      <c r="P12" s="23">
        <f>($N$5*P5+$N$6*P6+$N$7*P7+$N$8*P8+$N$9*P9+$N$10*P10+$N$11*P11)/100</f>
        <v>4.2360000000000007</v>
      </c>
      <c r="Q12" s="23">
        <f t="shared" ref="Q12:R12" si="3">($N$5*Q5+$N$6*Q6+$N$7*Q7+$N$8*Q8+$N$9*Q9+$N$10*Q10+$N$11*Q11)/100</f>
        <v>2.8570000000000007</v>
      </c>
      <c r="R12" s="23">
        <f t="shared" si="3"/>
        <v>3.222</v>
      </c>
    </row>
    <row r="15" spans="1:24">
      <c r="H15" t="s">
        <v>202</v>
      </c>
    </row>
    <row r="16" spans="1:24">
      <c r="B16" t="s">
        <v>200</v>
      </c>
      <c r="C16" t="s">
        <v>93</v>
      </c>
      <c r="D16" t="s">
        <v>201</v>
      </c>
      <c r="E16" t="s">
        <v>149</v>
      </c>
      <c r="F16" t="s">
        <v>165</v>
      </c>
      <c r="H16" t="s">
        <v>200</v>
      </c>
      <c r="I16" t="s">
        <v>93</v>
      </c>
      <c r="J16" t="s">
        <v>201</v>
      </c>
      <c r="K16" t="s">
        <v>149</v>
      </c>
      <c r="L16" t="s">
        <v>165</v>
      </c>
      <c r="N16" t="s">
        <v>200</v>
      </c>
      <c r="O16" t="s">
        <v>93</v>
      </c>
      <c r="P16" t="s">
        <v>201</v>
      </c>
      <c r="Q16" t="s">
        <v>149</v>
      </c>
      <c r="R16" t="s">
        <v>165</v>
      </c>
      <c r="T16" t="s">
        <v>200</v>
      </c>
      <c r="U16" t="s">
        <v>93</v>
      </c>
      <c r="V16" t="s">
        <v>201</v>
      </c>
      <c r="W16" t="s">
        <v>149</v>
      </c>
      <c r="X16" t="s">
        <v>165</v>
      </c>
    </row>
    <row r="17" spans="1:24">
      <c r="A17" t="s">
        <v>234</v>
      </c>
      <c r="B17">
        <v>31.25</v>
      </c>
      <c r="C17">
        <v>1</v>
      </c>
      <c r="D17">
        <v>5</v>
      </c>
      <c r="E17">
        <v>4</v>
      </c>
      <c r="F17">
        <v>4</v>
      </c>
      <c r="H17">
        <v>27.2</v>
      </c>
      <c r="I17">
        <v>1</v>
      </c>
      <c r="J17">
        <v>5</v>
      </c>
      <c r="K17">
        <v>4</v>
      </c>
      <c r="L17">
        <v>4</v>
      </c>
      <c r="N17">
        <v>27.2</v>
      </c>
      <c r="O17">
        <v>2</v>
      </c>
      <c r="P17">
        <v>4</v>
      </c>
      <c r="Q17">
        <v>4</v>
      </c>
      <c r="R17">
        <v>4</v>
      </c>
      <c r="T17">
        <v>27.2</v>
      </c>
      <c r="U17">
        <v>1</v>
      </c>
      <c r="V17">
        <v>5</v>
      </c>
      <c r="W17">
        <v>5</v>
      </c>
      <c r="X17">
        <v>5</v>
      </c>
    </row>
    <row r="18" spans="1:24">
      <c r="A18" t="s">
        <v>235</v>
      </c>
      <c r="B18">
        <v>25</v>
      </c>
      <c r="C18">
        <v>2</v>
      </c>
      <c r="D18">
        <v>5</v>
      </c>
      <c r="E18">
        <v>3</v>
      </c>
      <c r="F18">
        <v>4</v>
      </c>
      <c r="H18">
        <v>24.4</v>
      </c>
      <c r="I18">
        <v>2</v>
      </c>
      <c r="J18">
        <v>5</v>
      </c>
      <c r="K18">
        <v>3</v>
      </c>
      <c r="L18">
        <v>4</v>
      </c>
      <c r="N18">
        <v>24.4</v>
      </c>
      <c r="O18">
        <v>2</v>
      </c>
      <c r="P18">
        <v>4</v>
      </c>
      <c r="Q18">
        <v>3</v>
      </c>
      <c r="R18">
        <v>4</v>
      </c>
      <c r="T18">
        <v>24.4</v>
      </c>
      <c r="U18">
        <v>1</v>
      </c>
      <c r="V18">
        <v>5</v>
      </c>
      <c r="W18">
        <v>3</v>
      </c>
      <c r="X18">
        <v>5</v>
      </c>
    </row>
    <row r="19" spans="1:24">
      <c r="A19" t="s">
        <v>236</v>
      </c>
      <c r="B19">
        <v>25</v>
      </c>
      <c r="C19">
        <v>2</v>
      </c>
      <c r="D19">
        <v>4</v>
      </c>
      <c r="E19">
        <v>3</v>
      </c>
      <c r="F19">
        <v>3</v>
      </c>
      <c r="H19">
        <v>14</v>
      </c>
      <c r="I19">
        <v>2</v>
      </c>
      <c r="J19">
        <v>4</v>
      </c>
      <c r="K19">
        <v>3</v>
      </c>
      <c r="L19">
        <v>3</v>
      </c>
      <c r="N19">
        <v>14</v>
      </c>
      <c r="O19">
        <v>2</v>
      </c>
      <c r="P19">
        <v>4</v>
      </c>
      <c r="Q19">
        <v>3</v>
      </c>
      <c r="R19">
        <v>3</v>
      </c>
      <c r="T19">
        <v>14</v>
      </c>
      <c r="U19">
        <v>1</v>
      </c>
      <c r="V19">
        <v>5</v>
      </c>
      <c r="W19">
        <v>3</v>
      </c>
      <c r="X19">
        <v>3</v>
      </c>
    </row>
    <row r="20" spans="1:24">
      <c r="A20" t="s">
        <v>237</v>
      </c>
      <c r="B20">
        <v>18.75</v>
      </c>
      <c r="C20">
        <v>2</v>
      </c>
      <c r="D20">
        <v>4</v>
      </c>
      <c r="E20">
        <v>4</v>
      </c>
      <c r="F20">
        <v>3</v>
      </c>
      <c r="H20">
        <v>13.3</v>
      </c>
      <c r="I20">
        <v>2</v>
      </c>
      <c r="J20">
        <v>4</v>
      </c>
      <c r="K20">
        <v>4</v>
      </c>
      <c r="L20">
        <v>3</v>
      </c>
      <c r="N20">
        <v>13.3</v>
      </c>
      <c r="O20">
        <v>2</v>
      </c>
      <c r="P20">
        <v>4</v>
      </c>
      <c r="Q20">
        <v>4</v>
      </c>
      <c r="R20">
        <v>3</v>
      </c>
      <c r="T20">
        <v>13.3</v>
      </c>
      <c r="U20">
        <v>1</v>
      </c>
      <c r="V20">
        <v>5</v>
      </c>
      <c r="W20">
        <v>5</v>
      </c>
      <c r="X20">
        <v>3</v>
      </c>
    </row>
    <row r="21" spans="1:24">
      <c r="A21" t="s">
        <v>238</v>
      </c>
      <c r="B21">
        <v>0</v>
      </c>
      <c r="C21">
        <v>5</v>
      </c>
      <c r="D21">
        <v>2</v>
      </c>
      <c r="E21">
        <v>3</v>
      </c>
      <c r="F21">
        <v>4</v>
      </c>
      <c r="H21">
        <v>9.5</v>
      </c>
      <c r="I21">
        <v>5</v>
      </c>
      <c r="J21">
        <v>2</v>
      </c>
      <c r="K21">
        <v>3</v>
      </c>
      <c r="L21">
        <v>4</v>
      </c>
      <c r="N21">
        <v>9.5</v>
      </c>
      <c r="O21">
        <v>5</v>
      </c>
      <c r="P21">
        <v>2</v>
      </c>
      <c r="Q21">
        <v>3</v>
      </c>
      <c r="R21">
        <v>4</v>
      </c>
      <c r="T21">
        <v>9.5</v>
      </c>
      <c r="U21">
        <v>5</v>
      </c>
      <c r="V21">
        <v>1</v>
      </c>
      <c r="W21">
        <v>3</v>
      </c>
      <c r="X21">
        <v>5</v>
      </c>
    </row>
    <row r="22" spans="1:24">
      <c r="A22" t="s">
        <v>239</v>
      </c>
      <c r="B22">
        <v>0</v>
      </c>
      <c r="C22">
        <v>3</v>
      </c>
      <c r="D22">
        <v>2</v>
      </c>
      <c r="E22">
        <v>2</v>
      </c>
      <c r="F22">
        <v>3</v>
      </c>
      <c r="H22">
        <v>4.7</v>
      </c>
      <c r="I22">
        <v>3</v>
      </c>
      <c r="J22">
        <v>2</v>
      </c>
      <c r="K22">
        <v>2</v>
      </c>
      <c r="L22">
        <v>3</v>
      </c>
      <c r="N22">
        <v>4.7</v>
      </c>
      <c r="O22">
        <v>3</v>
      </c>
      <c r="P22">
        <v>2</v>
      </c>
      <c r="Q22">
        <v>2</v>
      </c>
      <c r="R22">
        <v>3</v>
      </c>
      <c r="T22">
        <v>4.7</v>
      </c>
      <c r="U22">
        <v>3</v>
      </c>
      <c r="V22">
        <v>1</v>
      </c>
      <c r="W22">
        <v>1</v>
      </c>
      <c r="X22">
        <v>3</v>
      </c>
    </row>
    <row r="23" spans="1:24">
      <c r="A23" t="s">
        <v>240</v>
      </c>
      <c r="B23">
        <v>0</v>
      </c>
      <c r="C23">
        <v>4</v>
      </c>
      <c r="D23">
        <v>3</v>
      </c>
      <c r="E23">
        <v>3</v>
      </c>
      <c r="F23">
        <v>3</v>
      </c>
      <c r="H23">
        <v>6.9</v>
      </c>
      <c r="I23">
        <v>4</v>
      </c>
      <c r="J23">
        <v>3</v>
      </c>
      <c r="K23">
        <v>3</v>
      </c>
      <c r="L23">
        <v>3</v>
      </c>
      <c r="N23">
        <v>6.9</v>
      </c>
      <c r="O23">
        <v>4</v>
      </c>
      <c r="P23">
        <v>3</v>
      </c>
      <c r="Q23">
        <v>3</v>
      </c>
      <c r="R23">
        <v>3</v>
      </c>
      <c r="T23">
        <v>6.9</v>
      </c>
      <c r="U23">
        <v>5</v>
      </c>
      <c r="V23">
        <v>3</v>
      </c>
      <c r="W23">
        <v>3</v>
      </c>
      <c r="X23">
        <v>3</v>
      </c>
    </row>
    <row r="24" spans="1:24">
      <c r="C24" s="23">
        <f>($B$17*C17+$B$18*C18+$B$19*C19+$B$20*C20+$B$21*C21+$B$22*C22+$B$23*C23)/100</f>
        <v>1.6875</v>
      </c>
      <c r="D24" s="23">
        <f>($B$17*D17+$B$18*D18+$B$19*D19+$B$20*D20+$B$21*D21+$B$22*D22+$B$23*D23)/100</f>
        <v>4.5625</v>
      </c>
      <c r="E24" s="23">
        <f t="shared" ref="E24:F24" si="4">($B$17*E17+$B$18*E18+$B$19*E19+$B$20*E20+$B$21*E21+$B$22*E22+$B$23*E23)/100</f>
        <v>3.5</v>
      </c>
      <c r="F24" s="23">
        <f t="shared" si="4"/>
        <v>3.5625</v>
      </c>
      <c r="I24" s="23">
        <f>($H$17*I17+$H$18*I18+$H$19*I19+$H$20*I20+$H$21*I21+$H$22*I22+$H$23*I23)/100</f>
        <v>2.198</v>
      </c>
      <c r="J24" s="23">
        <f t="shared" ref="J24:L24" si="5">($H$17*J17+$H$18*J18+$H$19*J19+$H$20*J20+$H$21*J21+$H$22*J22+$H$23*J23)/100</f>
        <v>4.1629999999999994</v>
      </c>
      <c r="K24" s="23">
        <f>($H$17*K17+$H$18*K18+$H$19*K19+$H$20*K20+$H$21*K21+$H$22*K22+$H$23*K23)/100</f>
        <v>3.3579999999999997</v>
      </c>
      <c r="L24" s="23">
        <f t="shared" si="5"/>
        <v>3.6109999999999998</v>
      </c>
      <c r="O24" s="23">
        <f>($N$17*O17+$N$18*O18+$N$19*O19+$N$20*O20+$N$21*O21+$N$22*O22+$N$23*O23)/100</f>
        <v>2.4699999999999998</v>
      </c>
      <c r="P24" s="23">
        <f t="shared" ref="P24:R24" si="6">($N$17*P17+$N$18*P18+$N$19*P19+$N$20*P20+$N$21*P21+$N$22*P22+$N$23*P23)/100</f>
        <v>3.6469999999999994</v>
      </c>
      <c r="Q24" s="23">
        <f t="shared" si="6"/>
        <v>3.3579999999999997</v>
      </c>
      <c r="R24" s="23">
        <f t="shared" si="6"/>
        <v>3.6109999999999998</v>
      </c>
      <c r="U24" s="23">
        <f>($N$17*U17+$N$18*U18+$N$19*U19+$N$20*U20+$N$21*U21+$N$22*U22+$N$23*U23)/100</f>
        <v>1.75</v>
      </c>
      <c r="V24" s="23">
        <f t="shared" ref="V24:X24" si="7">($N$17*V17+$N$18*V18+$N$19*V19+$N$20*V20+$N$21*V21+$N$22*V22+$N$23*V23)/100</f>
        <v>4.2939999999999996</v>
      </c>
      <c r="W24" s="23">
        <f t="shared" si="7"/>
        <v>3.7159999999999997</v>
      </c>
      <c r="X24" s="23">
        <f t="shared" si="7"/>
        <v>4.2219999999999995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6" sqref="D36"/>
    </sheetView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Calculations</vt:lpstr>
      <vt:lpstr>Engines</vt:lpstr>
      <vt:lpstr>Data</vt:lpstr>
      <vt:lpstr>Literature</vt:lpstr>
      <vt:lpstr>Sensitivity</vt:lpstr>
      <vt:lpstr>HAMRAC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Splunteren</dc:creator>
  <cp:lastModifiedBy>Matthew Andreini</cp:lastModifiedBy>
  <dcterms:created xsi:type="dcterms:W3CDTF">2018-11-26T10:46:17Z</dcterms:created>
  <dcterms:modified xsi:type="dcterms:W3CDTF">2018-12-14T12:56:10Z</dcterms:modified>
</cp:coreProperties>
</file>