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siness Cycle Accounting for Brazil\Matlab Codes (BCA)\"/>
    </mc:Choice>
  </mc:AlternateContent>
  <xr:revisionPtr revIDLastSave="0" documentId="13_ncr:1_{69D0731F-9698-4DCC-8BE2-E7ABBE3AA8A0}" xr6:coauthVersionLast="36" xr6:coauthVersionMax="36" xr10:uidLastSave="{00000000-0000-0000-0000-000000000000}"/>
  <bookViews>
    <workbookView xWindow="0" yWindow="0" windowWidth="19200" windowHeight="5775" activeTab="4" xr2:uid="{95A2817D-0CAF-48E5-92D2-2A36976EA501}"/>
  </bookViews>
  <sheets>
    <sheet name="SCN" sheetId="1" r:id="rId1"/>
    <sheet name="Labor" sheetId="2" r:id="rId2"/>
    <sheet name="Worked Hours" sheetId="3" r:id="rId3"/>
    <sheet name="Planilha6" sheetId="7" r:id="rId4"/>
    <sheet name="Final Data" sheetId="4" r:id="rId5"/>
    <sheet name="Calibration" sheetId="5" r:id="rId6"/>
    <sheet name="Wedg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5" i="4"/>
  <c r="B4" i="4"/>
  <c r="F3" i="5" l="1"/>
  <c r="K3" i="5" s="1"/>
  <c r="M3" i="5" s="1"/>
  <c r="B3" i="5" s="1"/>
  <c r="I4" i="3"/>
  <c r="I5" i="3" s="1"/>
  <c r="O2" i="3" s="1"/>
  <c r="N2" i="3"/>
  <c r="L2" i="1"/>
  <c r="K2" i="1"/>
  <c r="J2" i="1"/>
  <c r="F4" i="4" l="1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C4" i="6" l="1"/>
  <c r="D2" i="2"/>
  <c r="C5" i="6" l="1"/>
  <c r="G5" i="6" s="1"/>
  <c r="E32" i="6" s="1"/>
  <c r="C8" i="6"/>
  <c r="F8" i="6" s="1"/>
  <c r="D35" i="6" s="1"/>
  <c r="C9" i="6"/>
  <c r="G9" i="6" s="1"/>
  <c r="E36" i="6" s="1"/>
  <c r="C12" i="6"/>
  <c r="H12" i="6" s="1"/>
  <c r="F39" i="6" s="1"/>
  <c r="C13" i="6"/>
  <c r="G13" i="6" s="1"/>
  <c r="E40" i="6" s="1"/>
  <c r="F4" i="6"/>
  <c r="D31" i="6" s="1"/>
  <c r="B6" i="6"/>
  <c r="B7" i="6" s="1"/>
  <c r="B8" i="6" s="1"/>
  <c r="B9" i="6" s="1"/>
  <c r="B10" i="6" s="1"/>
  <c r="B11" i="6" s="1"/>
  <c r="B12" i="6" s="1"/>
  <c r="B13" i="6" s="1"/>
  <c r="B14" i="6" s="1"/>
  <c r="C14" i="6" s="1"/>
  <c r="G14" i="6" s="1"/>
  <c r="E41" i="6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E20" i="3"/>
  <c r="E21" i="3"/>
  <c r="E22" i="3"/>
  <c r="E23" i="3"/>
  <c r="E24" i="3"/>
  <c r="E25" i="3"/>
  <c r="E19" i="3"/>
  <c r="E11" i="3"/>
  <c r="E15" i="3"/>
  <c r="E16" i="3"/>
  <c r="E9" i="3"/>
  <c r="E3" i="3"/>
  <c r="E4" i="3"/>
  <c r="E5" i="3"/>
  <c r="E6" i="3"/>
  <c r="E7" i="3"/>
  <c r="E8" i="3"/>
  <c r="E2" i="3"/>
  <c r="C19" i="3"/>
  <c r="C18" i="3"/>
  <c r="E18" i="3" s="1"/>
  <c r="C17" i="3"/>
  <c r="E17" i="3" s="1"/>
  <c r="C16" i="3"/>
  <c r="C15" i="3"/>
  <c r="C14" i="3"/>
  <c r="E14" i="3" s="1"/>
  <c r="C13" i="3"/>
  <c r="E13" i="3" s="1"/>
  <c r="C12" i="3"/>
  <c r="E12" i="3" s="1"/>
  <c r="C11" i="3"/>
  <c r="C10" i="3"/>
  <c r="E10" i="3" s="1"/>
  <c r="C9" i="3"/>
  <c r="H25" i="2"/>
  <c r="H2" i="2"/>
  <c r="O19" i="3" l="1"/>
  <c r="O15" i="3"/>
  <c r="O11" i="3"/>
  <c r="O3" i="3"/>
  <c r="O13" i="3"/>
  <c r="O21" i="3"/>
  <c r="O23" i="3"/>
  <c r="O9" i="3"/>
  <c r="O25" i="3"/>
  <c r="I27" i="6" s="1"/>
  <c r="O5" i="3"/>
  <c r="O7" i="3"/>
  <c r="O17" i="3"/>
  <c r="O24" i="3"/>
  <c r="O20" i="3"/>
  <c r="O16" i="3"/>
  <c r="O12" i="3"/>
  <c r="O8" i="3"/>
  <c r="O4" i="3"/>
  <c r="O22" i="3"/>
  <c r="O18" i="3"/>
  <c r="O14" i="3"/>
  <c r="O10" i="3"/>
  <c r="O6" i="3"/>
  <c r="C11" i="6"/>
  <c r="G11" i="6" s="1"/>
  <c r="E38" i="6" s="1"/>
  <c r="C7" i="6"/>
  <c r="G7" i="6" s="1"/>
  <c r="E34" i="6" s="1"/>
  <c r="B15" i="6"/>
  <c r="C10" i="6"/>
  <c r="G10" i="6" s="1"/>
  <c r="E37" i="6" s="1"/>
  <c r="C6" i="6"/>
  <c r="G6" i="6" s="1"/>
  <c r="E33" i="6" s="1"/>
  <c r="E12" i="6"/>
  <c r="C39" i="6" s="1"/>
  <c r="H4" i="6"/>
  <c r="F31" i="6" s="1"/>
  <c r="G4" i="6"/>
  <c r="E31" i="6" s="1"/>
  <c r="G8" i="6"/>
  <c r="E35" i="6" s="1"/>
  <c r="E11" i="6"/>
  <c r="C38" i="6" s="1"/>
  <c r="E7" i="6"/>
  <c r="C34" i="6" s="1"/>
  <c r="F11" i="6"/>
  <c r="D38" i="6" s="1"/>
  <c r="H11" i="6"/>
  <c r="F38" i="6" s="1"/>
  <c r="J39" i="6" s="1"/>
  <c r="H7" i="6"/>
  <c r="F34" i="6" s="1"/>
  <c r="E4" i="6"/>
  <c r="C31" i="6" s="1"/>
  <c r="E8" i="6"/>
  <c r="C35" i="6" s="1"/>
  <c r="F12" i="6"/>
  <c r="D39" i="6" s="1"/>
  <c r="H8" i="6"/>
  <c r="F35" i="6" s="1"/>
  <c r="G12" i="6"/>
  <c r="E39" i="6" s="1"/>
  <c r="E14" i="6"/>
  <c r="C41" i="6" s="1"/>
  <c r="E6" i="6"/>
  <c r="C33" i="6" s="1"/>
  <c r="F14" i="6"/>
  <c r="D41" i="6" s="1"/>
  <c r="F6" i="6"/>
  <c r="D33" i="6" s="1"/>
  <c r="H14" i="6"/>
  <c r="F41" i="6" s="1"/>
  <c r="H6" i="6"/>
  <c r="F33" i="6" s="1"/>
  <c r="E13" i="6"/>
  <c r="C40" i="6" s="1"/>
  <c r="E9" i="6"/>
  <c r="C36" i="6" s="1"/>
  <c r="E5" i="6"/>
  <c r="C32" i="6" s="1"/>
  <c r="F13" i="6"/>
  <c r="D40" i="6" s="1"/>
  <c r="F9" i="6"/>
  <c r="D36" i="6" s="1"/>
  <c r="F5" i="6"/>
  <c r="D32" i="6" s="1"/>
  <c r="H13" i="6"/>
  <c r="F40" i="6" s="1"/>
  <c r="J40" i="6" s="1"/>
  <c r="H9" i="6"/>
  <c r="F36" i="6" s="1"/>
  <c r="H5" i="6"/>
  <c r="F32" i="6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3" i="1"/>
  <c r="B7" i="5" s="1"/>
  <c r="K4" i="1"/>
  <c r="B8" i="5" s="1"/>
  <c r="K5" i="1"/>
  <c r="B9" i="5" s="1"/>
  <c r="K6" i="1"/>
  <c r="B10" i="5" s="1"/>
  <c r="K7" i="1"/>
  <c r="B11" i="5" s="1"/>
  <c r="K8" i="1"/>
  <c r="B12" i="5" s="1"/>
  <c r="K9" i="1"/>
  <c r="B13" i="5" s="1"/>
  <c r="K10" i="1"/>
  <c r="B14" i="5" s="1"/>
  <c r="K11" i="1"/>
  <c r="B15" i="5" s="1"/>
  <c r="K12" i="1"/>
  <c r="B16" i="5" s="1"/>
  <c r="K13" i="1"/>
  <c r="B17" i="5" s="1"/>
  <c r="K14" i="1"/>
  <c r="B18" i="5" s="1"/>
  <c r="K15" i="1"/>
  <c r="B19" i="5" s="1"/>
  <c r="K16" i="1"/>
  <c r="B20" i="5" s="1"/>
  <c r="K17" i="1"/>
  <c r="B21" i="5" s="1"/>
  <c r="K18" i="1"/>
  <c r="B22" i="5" s="1"/>
  <c r="K19" i="1"/>
  <c r="B23" i="5" s="1"/>
  <c r="K20" i="1"/>
  <c r="B24" i="5" s="1"/>
  <c r="K21" i="1"/>
  <c r="B25" i="5" s="1"/>
  <c r="K22" i="1"/>
  <c r="B26" i="5" s="1"/>
  <c r="K23" i="1"/>
  <c r="B27" i="5" s="1"/>
  <c r="K24" i="1"/>
  <c r="B28" i="5" s="1"/>
  <c r="K25" i="1"/>
  <c r="B29" i="5" s="1"/>
  <c r="J3" i="1"/>
  <c r="C7" i="5" s="1"/>
  <c r="J4" i="1"/>
  <c r="C8" i="5" s="1"/>
  <c r="J5" i="1"/>
  <c r="C9" i="5" s="1"/>
  <c r="J6" i="1"/>
  <c r="C10" i="5" s="1"/>
  <c r="J7" i="1"/>
  <c r="C11" i="5" s="1"/>
  <c r="J8" i="1"/>
  <c r="C12" i="5" s="1"/>
  <c r="J9" i="1"/>
  <c r="C13" i="5" s="1"/>
  <c r="J10" i="1"/>
  <c r="C14" i="5" s="1"/>
  <c r="J11" i="1"/>
  <c r="C15" i="5" s="1"/>
  <c r="J12" i="1"/>
  <c r="C16" i="5" s="1"/>
  <c r="J13" i="1"/>
  <c r="C17" i="5" s="1"/>
  <c r="J14" i="1"/>
  <c r="C18" i="5" s="1"/>
  <c r="J15" i="1"/>
  <c r="C19" i="5" s="1"/>
  <c r="J16" i="1"/>
  <c r="C20" i="5" s="1"/>
  <c r="J17" i="1"/>
  <c r="C21" i="5" s="1"/>
  <c r="J18" i="1"/>
  <c r="C22" i="5" s="1"/>
  <c r="J19" i="1"/>
  <c r="C23" i="5" s="1"/>
  <c r="J20" i="1"/>
  <c r="C24" i="5" s="1"/>
  <c r="J21" i="1"/>
  <c r="C25" i="5" s="1"/>
  <c r="J22" i="1"/>
  <c r="C26" i="5" s="1"/>
  <c r="J23" i="1"/>
  <c r="C27" i="5" s="1"/>
  <c r="J24" i="1"/>
  <c r="C28" i="5" s="1"/>
  <c r="J25" i="1"/>
  <c r="C29" i="5" s="1"/>
  <c r="B6" i="5"/>
  <c r="C6" i="5"/>
  <c r="D3" i="5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D24" i="2"/>
  <c r="H24" i="2" s="1"/>
  <c r="H10" i="6" l="1"/>
  <c r="F37" i="6" s="1"/>
  <c r="J38" i="6" s="1"/>
  <c r="E10" i="6"/>
  <c r="C37" i="6" s="1"/>
  <c r="F7" i="6"/>
  <c r="D34" i="6" s="1"/>
  <c r="I8" i="6"/>
  <c r="G35" i="6" s="1"/>
  <c r="D8" i="4"/>
  <c r="I24" i="6"/>
  <c r="G51" i="6" s="1"/>
  <c r="D24" i="4"/>
  <c r="I14" i="6"/>
  <c r="G41" i="6" s="1"/>
  <c r="D14" i="4"/>
  <c r="I19" i="6"/>
  <c r="G46" i="6" s="1"/>
  <c r="D19" i="4"/>
  <c r="I11" i="6"/>
  <c r="G38" i="6" s="1"/>
  <c r="D11" i="4"/>
  <c r="B16" i="6"/>
  <c r="C15" i="6"/>
  <c r="I12" i="6"/>
  <c r="G39" i="6" s="1"/>
  <c r="D12" i="4"/>
  <c r="E3" i="5"/>
  <c r="D4" i="4"/>
  <c r="I4" i="6"/>
  <c r="G31" i="6" s="1"/>
  <c r="I18" i="6"/>
  <c r="G45" i="6" s="1"/>
  <c r="D18" i="4"/>
  <c r="I9" i="6"/>
  <c r="G36" i="6" s="1"/>
  <c r="D9" i="4"/>
  <c r="I25" i="6"/>
  <c r="G52" i="6" s="1"/>
  <c r="D25" i="4"/>
  <c r="D13" i="4"/>
  <c r="I13" i="6"/>
  <c r="G40" i="6" s="1"/>
  <c r="C3" i="5"/>
  <c r="J3" i="5" s="1"/>
  <c r="I5" i="6"/>
  <c r="G32" i="6" s="1"/>
  <c r="D5" i="4"/>
  <c r="G3" i="5"/>
  <c r="H23" i="2"/>
  <c r="F10" i="6"/>
  <c r="D37" i="6" s="1"/>
  <c r="I16" i="6"/>
  <c r="G43" i="6" s="1"/>
  <c r="D16" i="4"/>
  <c r="I6" i="6"/>
  <c r="G33" i="6" s="1"/>
  <c r="D6" i="4"/>
  <c r="I22" i="6"/>
  <c r="G49" i="6" s="1"/>
  <c r="D22" i="4"/>
  <c r="I7" i="6"/>
  <c r="G34" i="6" s="1"/>
  <c r="D7" i="4"/>
  <c r="I23" i="6"/>
  <c r="G50" i="6" s="1"/>
  <c r="D23" i="4"/>
  <c r="I17" i="6"/>
  <c r="G44" i="6" s="1"/>
  <c r="D17" i="4"/>
  <c r="I20" i="6"/>
  <c r="G47" i="6" s="1"/>
  <c r="D20" i="4"/>
  <c r="I10" i="6"/>
  <c r="G37" i="6" s="1"/>
  <c r="D10" i="4"/>
  <c r="I26" i="6"/>
  <c r="G53" i="6" s="1"/>
  <c r="D26" i="4"/>
  <c r="I15" i="6"/>
  <c r="G42" i="6" s="1"/>
  <c r="D15" i="4"/>
  <c r="D21" i="4"/>
  <c r="I21" i="6"/>
  <c r="G48" i="6" s="1"/>
  <c r="J32" i="6"/>
  <c r="J35" i="6"/>
  <c r="J36" i="6"/>
  <c r="J33" i="6"/>
  <c r="J34" i="6"/>
  <c r="J37" i="6"/>
  <c r="J41" i="6"/>
  <c r="O3" i="1"/>
  <c r="Q3" i="1" s="1"/>
  <c r="O6" i="1"/>
  <c r="Q6" i="1" s="1"/>
  <c r="O15" i="1"/>
  <c r="Q15" i="1" s="1"/>
  <c r="O19" i="1"/>
  <c r="Q19" i="1" s="1"/>
  <c r="N3" i="1"/>
  <c r="N4" i="1"/>
  <c r="O4" i="1" s="1"/>
  <c r="Q4" i="1" s="1"/>
  <c r="N5" i="1"/>
  <c r="O5" i="1" s="1"/>
  <c r="Q5" i="1" s="1"/>
  <c r="N6" i="1"/>
  <c r="N7" i="1"/>
  <c r="O7" i="1" s="1"/>
  <c r="Q7" i="1" s="1"/>
  <c r="N8" i="1"/>
  <c r="O8" i="1" s="1"/>
  <c r="Q8" i="1" s="1"/>
  <c r="N9" i="1"/>
  <c r="O9" i="1" s="1"/>
  <c r="Q9" i="1" s="1"/>
  <c r="N10" i="1"/>
  <c r="O10" i="1" s="1"/>
  <c r="Q10" i="1" s="1"/>
  <c r="N11" i="1"/>
  <c r="O11" i="1" s="1"/>
  <c r="Q11" i="1" s="1"/>
  <c r="N12" i="1"/>
  <c r="O12" i="1" s="1"/>
  <c r="Q12" i="1" s="1"/>
  <c r="N13" i="1"/>
  <c r="O13" i="1" s="1"/>
  <c r="Q13" i="1" s="1"/>
  <c r="N14" i="1"/>
  <c r="O14" i="1" s="1"/>
  <c r="Q14" i="1" s="1"/>
  <c r="N15" i="1"/>
  <c r="N16" i="1"/>
  <c r="O16" i="1" s="1"/>
  <c r="Q16" i="1" s="1"/>
  <c r="N17" i="1"/>
  <c r="O17" i="1" s="1"/>
  <c r="Q17" i="1" s="1"/>
  <c r="N18" i="1"/>
  <c r="O18" i="1" s="1"/>
  <c r="Q18" i="1" s="1"/>
  <c r="N19" i="1"/>
  <c r="N20" i="1"/>
  <c r="O20" i="1" s="1"/>
  <c r="Q20" i="1" s="1"/>
  <c r="N21" i="1"/>
  <c r="O21" i="1" s="1"/>
  <c r="Q21" i="1" s="1"/>
  <c r="N22" i="1"/>
  <c r="O22" i="1" s="1"/>
  <c r="Q22" i="1" s="1"/>
  <c r="N23" i="1"/>
  <c r="O23" i="1" s="1"/>
  <c r="Q23" i="1" s="1"/>
  <c r="N24" i="1"/>
  <c r="O24" i="1" s="1"/>
  <c r="Q24" i="1" s="1"/>
  <c r="N25" i="1"/>
  <c r="O25" i="1" s="1"/>
  <c r="Q25" i="1" s="1"/>
  <c r="N2" i="1"/>
  <c r="O2" i="1" s="1"/>
  <c r="Q2" i="1" s="1"/>
  <c r="D6" i="6" l="1"/>
  <c r="D10" i="6"/>
  <c r="D14" i="6"/>
  <c r="D7" i="6"/>
  <c r="D11" i="6"/>
  <c r="D15" i="6"/>
  <c r="D8" i="6"/>
  <c r="D12" i="6"/>
  <c r="D16" i="6"/>
  <c r="D4" i="6"/>
  <c r="L3" i="5"/>
  <c r="D9" i="6"/>
  <c r="D5" i="6"/>
  <c r="D13" i="6"/>
  <c r="D17" i="6"/>
  <c r="G56" i="6"/>
  <c r="C16" i="6"/>
  <c r="B17" i="6"/>
  <c r="G15" i="6"/>
  <c r="E42" i="6" s="1"/>
  <c r="F15" i="6"/>
  <c r="D42" i="6" s="1"/>
  <c r="E15" i="6"/>
  <c r="C42" i="6" s="1"/>
  <c r="H15" i="6"/>
  <c r="F42" i="6" s="1"/>
  <c r="J11" i="6" l="1"/>
  <c r="J19" i="6"/>
  <c r="J16" i="6"/>
  <c r="J9" i="6"/>
  <c r="J25" i="6"/>
  <c r="J14" i="6"/>
  <c r="J23" i="6"/>
  <c r="J20" i="6"/>
  <c r="J13" i="6"/>
  <c r="J4" i="6"/>
  <c r="J18" i="6"/>
  <c r="J15" i="6"/>
  <c r="J12" i="6"/>
  <c r="J21" i="6"/>
  <c r="J10" i="6"/>
  <c r="J26" i="6"/>
  <c r="J7" i="6"/>
  <c r="J8" i="6"/>
  <c r="J24" i="6"/>
  <c r="J17" i="6"/>
  <c r="J6" i="6"/>
  <c r="J22" i="6"/>
  <c r="J5" i="6"/>
  <c r="J27" i="6"/>
  <c r="B18" i="6"/>
  <c r="C17" i="6"/>
  <c r="J42" i="6"/>
  <c r="G16" i="6"/>
  <c r="E43" i="6" s="1"/>
  <c r="F16" i="6"/>
  <c r="D43" i="6" s="1"/>
  <c r="H16" i="6"/>
  <c r="F43" i="6" s="1"/>
  <c r="J43" i="6" s="1"/>
  <c r="E16" i="6"/>
  <c r="C43" i="6" s="1"/>
  <c r="H44" i="6" l="1"/>
  <c r="H53" i="6"/>
  <c r="K15" i="6"/>
  <c r="H42" i="6"/>
  <c r="H47" i="6"/>
  <c r="K9" i="6"/>
  <c r="H36" i="6"/>
  <c r="H32" i="6"/>
  <c r="K5" i="6"/>
  <c r="H51" i="6"/>
  <c r="K10" i="6"/>
  <c r="H37" i="6"/>
  <c r="H45" i="6"/>
  <c r="H50" i="6"/>
  <c r="H43" i="6"/>
  <c r="K16" i="6"/>
  <c r="G17" i="6"/>
  <c r="E44" i="6" s="1"/>
  <c r="F17" i="6"/>
  <c r="D44" i="6" s="1"/>
  <c r="E17" i="6"/>
  <c r="C44" i="6" s="1"/>
  <c r="H17" i="6"/>
  <c r="F44" i="6" s="1"/>
  <c r="J44" i="6" s="1"/>
  <c r="H49" i="6"/>
  <c r="H35" i="6"/>
  <c r="K8" i="6"/>
  <c r="H48" i="6"/>
  <c r="H31" i="6"/>
  <c r="K4" i="6"/>
  <c r="H41" i="6"/>
  <c r="K14" i="6"/>
  <c r="H46" i="6"/>
  <c r="C18" i="6"/>
  <c r="B19" i="6"/>
  <c r="D18" i="6"/>
  <c r="K6" i="6"/>
  <c r="H33" i="6"/>
  <c r="K7" i="6"/>
  <c r="H34" i="6"/>
  <c r="H39" i="6"/>
  <c r="K12" i="6"/>
  <c r="H40" i="6"/>
  <c r="K13" i="6"/>
  <c r="H52" i="6"/>
  <c r="H38" i="6"/>
  <c r="K11" i="6"/>
  <c r="K17" i="6" l="1"/>
  <c r="C19" i="6"/>
  <c r="B20" i="6"/>
  <c r="D19" i="6"/>
  <c r="G18" i="6"/>
  <c r="E45" i="6" s="1"/>
  <c r="E18" i="6"/>
  <c r="C45" i="6" s="1"/>
  <c r="H18" i="6"/>
  <c r="F18" i="6"/>
  <c r="D45" i="6" s="1"/>
  <c r="H56" i="6"/>
  <c r="F45" i="6" l="1"/>
  <c r="K18" i="6"/>
  <c r="C20" i="6"/>
  <c r="D20" i="6"/>
  <c r="B21" i="6"/>
  <c r="G19" i="6"/>
  <c r="E46" i="6" s="1"/>
  <c r="E19" i="6"/>
  <c r="C46" i="6" s="1"/>
  <c r="H19" i="6"/>
  <c r="F19" i="6"/>
  <c r="D46" i="6" s="1"/>
  <c r="F46" i="6" l="1"/>
  <c r="K19" i="6"/>
  <c r="H20" i="6"/>
  <c r="G20" i="6"/>
  <c r="E47" i="6" s="1"/>
  <c r="E20" i="6"/>
  <c r="C47" i="6" s="1"/>
  <c r="F20" i="6"/>
  <c r="D47" i="6" s="1"/>
  <c r="C21" i="6"/>
  <c r="D21" i="6"/>
  <c r="B22" i="6"/>
  <c r="J45" i="6"/>
  <c r="G21" i="6" l="1"/>
  <c r="E48" i="6" s="1"/>
  <c r="E21" i="6"/>
  <c r="C48" i="6" s="1"/>
  <c r="H21" i="6"/>
  <c r="F21" i="6"/>
  <c r="D48" i="6" s="1"/>
  <c r="F47" i="6"/>
  <c r="K20" i="6"/>
  <c r="C22" i="6"/>
  <c r="D22" i="6"/>
  <c r="B23" i="6"/>
  <c r="J47" i="6"/>
  <c r="J46" i="6"/>
  <c r="G22" i="6" l="1"/>
  <c r="E49" i="6" s="1"/>
  <c r="E22" i="6"/>
  <c r="C49" i="6" s="1"/>
  <c r="H22" i="6"/>
  <c r="F22" i="6"/>
  <c r="D49" i="6" s="1"/>
  <c r="F48" i="6"/>
  <c r="J48" i="6" s="1"/>
  <c r="K21" i="6"/>
  <c r="C23" i="6"/>
  <c r="D23" i="6"/>
  <c r="B24" i="6"/>
  <c r="G23" i="6" l="1"/>
  <c r="E50" i="6" s="1"/>
  <c r="E23" i="6"/>
  <c r="C50" i="6" s="1"/>
  <c r="H23" i="6"/>
  <c r="F23" i="6"/>
  <c r="D50" i="6" s="1"/>
  <c r="F49" i="6"/>
  <c r="J49" i="6" s="1"/>
  <c r="K22" i="6"/>
  <c r="C24" i="6"/>
  <c r="D24" i="6"/>
  <c r="B25" i="6"/>
  <c r="G24" i="6" l="1"/>
  <c r="E51" i="6" s="1"/>
  <c r="F24" i="6"/>
  <c r="D51" i="6" s="1"/>
  <c r="H24" i="6"/>
  <c r="E24" i="6"/>
  <c r="C51" i="6" s="1"/>
  <c r="F50" i="6"/>
  <c r="J50" i="6" s="1"/>
  <c r="K23" i="6"/>
  <c r="C25" i="6"/>
  <c r="D25" i="6"/>
  <c r="B26" i="6"/>
  <c r="F51" i="6" l="1"/>
  <c r="J51" i="6" s="1"/>
  <c r="K24" i="6"/>
  <c r="G25" i="6"/>
  <c r="E52" i="6" s="1"/>
  <c r="E25" i="6"/>
  <c r="C52" i="6" s="1"/>
  <c r="H25" i="6"/>
  <c r="F25" i="6"/>
  <c r="D52" i="6" s="1"/>
  <c r="C26" i="6"/>
  <c r="D26" i="6"/>
  <c r="B27" i="6"/>
  <c r="G26" i="6" l="1"/>
  <c r="E53" i="6" s="1"/>
  <c r="E56" i="6" s="1"/>
  <c r="F26" i="6"/>
  <c r="D53" i="6" s="1"/>
  <c r="D56" i="6" s="1"/>
  <c r="E26" i="6"/>
  <c r="C53" i="6" s="1"/>
  <c r="H26" i="6"/>
  <c r="C27" i="6"/>
  <c r="D27" i="6"/>
  <c r="F52" i="6"/>
  <c r="J52" i="6" s="1"/>
  <c r="K25" i="6"/>
  <c r="F53" i="6" l="1"/>
  <c r="K26" i="6"/>
  <c r="G27" i="6"/>
  <c r="F27" i="6"/>
  <c r="E27" i="6"/>
  <c r="H27" i="6"/>
  <c r="K27" i="6" s="1"/>
  <c r="J53" i="6" l="1"/>
  <c r="F56" i="6"/>
</calcChain>
</file>

<file path=xl/sharedStrings.xml><?xml version="1.0" encoding="utf-8"?>
<sst xmlns="http://schemas.openxmlformats.org/spreadsheetml/2006/main" count="88" uniqueCount="64">
  <si>
    <t>Ano</t>
  </si>
  <si>
    <t>PIB</t>
  </si>
  <si>
    <t>Investimento (FBCF)</t>
  </si>
  <si>
    <t>Exportações</t>
  </si>
  <si>
    <t>Consumo Final</t>
  </si>
  <si>
    <t>var de estoque</t>
  </si>
  <si>
    <t>importações</t>
  </si>
  <si>
    <t>Dados do IPEADATA R$ 2010</t>
  </si>
  <si>
    <t>PIB da soma</t>
  </si>
  <si>
    <t>Diferença</t>
  </si>
  <si>
    <t>importancia da diferença</t>
  </si>
  <si>
    <t>Last Updated: 04/24/2019</t>
  </si>
  <si>
    <t>Data from database: World Development Indicators</t>
  </si>
  <si>
    <t>Population ages 65 and above</t>
  </si>
  <si>
    <t>Population ages 15-64</t>
  </si>
  <si>
    <t>Time</t>
  </si>
  <si>
    <t>TOTAL</t>
  </si>
  <si>
    <t>CC</t>
  </si>
  <si>
    <t>CI</t>
  </si>
  <si>
    <t>CX</t>
  </si>
  <si>
    <t xml:space="preserve">Employment to population ratio, 15+, total (%) (modeled ILO estimate) </t>
  </si>
  <si>
    <t>População ocupada em milhares</t>
  </si>
  <si>
    <t>Regiao</t>
  </si>
  <si>
    <t>Total das areas</t>
  </si>
  <si>
    <t>Horas (Lama)</t>
  </si>
  <si>
    <t>Horas (média IBGE)</t>
  </si>
  <si>
    <t>Horas LaborStat</t>
  </si>
  <si>
    <t>Dados do IBGE</t>
  </si>
  <si>
    <t>Horas Final</t>
  </si>
  <si>
    <t>Média de Horas 1991-2018</t>
  </si>
  <si>
    <t>Employment to population ratio</t>
  </si>
  <si>
    <t>Hours</t>
  </si>
  <si>
    <t>Obs.: Eu não entendi porque divide por 16 vezes 7</t>
  </si>
  <si>
    <t>This variables are expressed in per capita terms (Population 15+)</t>
  </si>
  <si>
    <t>GDP</t>
  </si>
  <si>
    <t>Total Consumption</t>
  </si>
  <si>
    <t>Investment</t>
  </si>
  <si>
    <t>Capital Stock</t>
  </si>
  <si>
    <t>k/y</t>
  </si>
  <si>
    <t>i/y</t>
  </si>
  <si>
    <t>c/y</t>
  </si>
  <si>
    <t>l</t>
  </si>
  <si>
    <t>gamma</t>
  </si>
  <si>
    <t>eta</t>
  </si>
  <si>
    <t>depreciation rate</t>
  </si>
  <si>
    <t>b/y (Source: Milessi Ferreti)</t>
  </si>
  <si>
    <t>Input Series</t>
  </si>
  <si>
    <t>Period</t>
  </si>
  <si>
    <t>Technological Progress Deflator</t>
  </si>
  <si>
    <t>Populator Deflator</t>
  </si>
  <si>
    <t>Consumption</t>
  </si>
  <si>
    <t>Net Exports</t>
  </si>
  <si>
    <t>Capital Output Ratio</t>
  </si>
  <si>
    <t>Output Series</t>
  </si>
  <si>
    <t>Correlação com o lag do PIB</t>
  </si>
  <si>
    <t xml:space="preserve">Wedges </t>
  </si>
  <si>
    <t>Desvio-Padrão</t>
  </si>
  <si>
    <t>PTF</t>
  </si>
  <si>
    <t>Capital</t>
  </si>
  <si>
    <t>Trabalho</t>
  </si>
  <si>
    <t>Títulos</t>
  </si>
  <si>
    <t>16 é o número de horas úteis por dia (desconta 8 horas de sono)</t>
  </si>
  <si>
    <t>É só a divisão de horas trabalhadas na semana dividido por horas úteis. Peso do trabalho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</si>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</sst>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color rgb="FF0000FF"/>
      <name val="Calibri"/>
      <family val="2"/>
      <scheme val="minor"/>
    </font>
    <font>
      <sz val="9"/>
      <color rgb="FF000000"/>
      <name val="Verdana"/>
      <family val="2"/>
    </font>
    <font>
      <sz val="11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28" borderId="0" applyNumberFormat="0" applyBorder="0" applyAlignment="0" applyProtection="0"/>
    <xf numFmtId="0" fontId="20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16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7" fillId="0" borderId="0" xfId="0" applyFont="1"/>
    <xf numFmtId="0" fontId="17" fillId="33" borderId="0" xfId="0" applyFont="1" applyFill="1"/>
    <xf numFmtId="0" fontId="1" fillId="34" borderId="0" xfId="1" applyFill="1"/>
    <xf numFmtId="0" fontId="0" fillId="34" borderId="0" xfId="0" applyFill="1"/>
    <xf numFmtId="0" fontId="0" fillId="0" borderId="0" xfId="0" applyAlignment="1">
      <alignment wrapText="1"/>
    </xf>
    <xf numFmtId="0" fontId="17" fillId="33" borderId="0" xfId="0" applyFont="1" applyFill="1" applyAlignment="1">
      <alignment wrapText="1"/>
    </xf>
    <xf numFmtId="0" fontId="0" fillId="36" borderId="10" xfId="0" applyFill="1" applyBorder="1"/>
    <xf numFmtId="164" fontId="0" fillId="0" borderId="0" xfId="0" applyNumberFormat="1"/>
    <xf numFmtId="1" fontId="0" fillId="0" borderId="0" xfId="0" applyNumberFormat="1"/>
    <xf numFmtId="0" fontId="0" fillId="33" borderId="0" xfId="0" applyFont="1" applyFill="1"/>
    <xf numFmtId="0" fontId="0" fillId="0" borderId="0" xfId="0" applyFill="1" applyBorder="1"/>
    <xf numFmtId="2" fontId="0" fillId="0" borderId="10" xfId="0" applyNumberFormat="1" applyFill="1" applyBorder="1"/>
    <xf numFmtId="0" fontId="15" fillId="0" borderId="0" xfId="0" applyFont="1" applyAlignment="1">
      <alignment wrapText="1"/>
    </xf>
    <xf numFmtId="0" fontId="0" fillId="0" borderId="0" xfId="0" applyBorder="1"/>
    <xf numFmtId="2" fontId="0" fillId="0" borderId="0" xfId="0" applyNumberFormat="1"/>
    <xf numFmtId="2" fontId="0" fillId="33" borderId="10" xfId="0" applyNumberFormat="1" applyFill="1" applyBorder="1"/>
    <xf numFmtId="165" fontId="0" fillId="33" borderId="10" xfId="0" applyNumberFormat="1" applyFill="1" applyBorder="1"/>
    <xf numFmtId="165" fontId="0" fillId="36" borderId="10" xfId="0" applyNumberFormat="1" applyFill="1" applyBorder="1"/>
    <xf numFmtId="0" fontId="17" fillId="0" borderId="12" xfId="0" applyFont="1" applyBorder="1"/>
    <xf numFmtId="0" fontId="0" fillId="0" borderId="0" xfId="0"/>
    <xf numFmtId="17" fontId="0" fillId="0" borderId="0" xfId="0" applyNumberFormat="1"/>
    <xf numFmtId="0" fontId="0" fillId="0" borderId="10" xfId="0" applyFill="1" applyBorder="1"/>
    <xf numFmtId="165" fontId="0" fillId="0" borderId="10" xfId="0" applyNumberFormat="1" applyFill="1" applyBorder="1"/>
    <xf numFmtId="0" fontId="0" fillId="33" borderId="10" xfId="0" applyFill="1" applyBorder="1"/>
    <xf numFmtId="165" fontId="0" fillId="35" borderId="10" xfId="0" applyNumberFormat="1" applyFill="1" applyBorder="1"/>
    <xf numFmtId="0" fontId="0" fillId="0" borderId="0" xfId="0"/>
    <xf numFmtId="1" fontId="22" fillId="0" borderId="0" xfId="0" applyNumberFormat="1" applyFont="1" applyAlignment="1">
      <alignment vertical="top" wrapText="1"/>
    </xf>
    <xf numFmtId="0" fontId="0" fillId="0" borderId="11" xfId="0" applyBorder="1"/>
    <xf numFmtId="2" fontId="0" fillId="0" borderId="11" xfId="0" applyNumberFormat="1" applyBorder="1"/>
    <xf numFmtId="2" fontId="0" fillId="0" borderId="0" xfId="0" applyNumberFormat="1" applyBorder="1"/>
    <xf numFmtId="0" fontId="0" fillId="0" borderId="13" xfId="0" applyBorder="1"/>
    <xf numFmtId="2" fontId="0" fillId="0" borderId="13" xfId="0" applyNumberFormat="1" applyBorder="1"/>
    <xf numFmtId="0" fontId="23" fillId="0" borderId="0" xfId="0" applyFont="1" applyAlignment="1">
      <alignment wrapText="1"/>
    </xf>
    <xf numFmtId="0" fontId="17" fillId="0" borderId="12" xfId="0" applyFont="1" applyBorder="1" applyAlignment="1">
      <alignment horizontal="center"/>
    </xf>
    <xf numFmtId="166" fontId="0" fillId="0" borderId="0" xfId="53" applyNumberFormat="1" applyFont="1"/>
  </cellXfs>
  <cellStyles count="5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60% - Ênfase1 2" xfId="46" xr:uid="{00000000-0005-0000-0000-000030000000}"/>
    <cellStyle name="60% - Ênfase2 2" xfId="49" xr:uid="{00000000-0005-0000-0000-000031000000}"/>
    <cellStyle name="60% - Ênfase3 2" xfId="48" xr:uid="{00000000-0005-0000-0000-000032000000}"/>
    <cellStyle name="60% - Ênfase4 2" xfId="47" xr:uid="{00000000-0005-0000-0000-000033000000}"/>
    <cellStyle name="60% - Ênfase5 2" xfId="44" xr:uid="{00000000-0005-0000-0000-000034000000}"/>
    <cellStyle name="60% - Ênfase6 2" xfId="50" xr:uid="{00000000-0005-0000-0000-000035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52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eutro 2" xfId="45" xr:uid="{00000000-0005-0000-0000-000038000000}"/>
    <cellStyle name="Normal" xfId="0" builtinId="0"/>
    <cellStyle name="Normal 2" xfId="1" xr:uid="{00000000-0005-0000-0000-00002F000000}"/>
    <cellStyle name="Note" xfId="16" builtinId="10" customBuiltin="1"/>
    <cellStyle name="Output" xfId="11" builtinId="21" customBuiltin="1"/>
    <cellStyle name="Percent" xfId="53" builtinId="5"/>
    <cellStyle name="Title" xfId="2" builtinId="15" customBuiltin="1"/>
    <cellStyle name="Título 5" xfId="43" xr:uid="{00000000-0005-0000-0000-000039000000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F676-C68D-4E14-AFC6-F1F6DF4B1196}">
  <dimension ref="A1:Q27"/>
  <sheetViews>
    <sheetView topLeftCell="F1" workbookViewId="0">
      <selection activeCell="N30" sqref="N30"/>
    </sheetView>
  </sheetViews>
  <sheetFormatPr defaultRowHeight="15" x14ac:dyDescent="0.25"/>
  <cols>
    <col min="4" max="4" width="19.140625" bestFit="1" customWidth="1"/>
    <col min="5" max="5" width="17.5703125" bestFit="1" customWidth="1"/>
    <col min="6" max="6" width="11.85546875" bestFit="1" customWidth="1"/>
    <col min="7" max="7" width="13.28515625" bestFit="1" customWidth="1"/>
    <col min="8" max="8" width="11.85546875" bestFit="1" customWidth="1"/>
    <col min="9" max="12" width="11.85546875" customWidth="1"/>
    <col min="14" max="14" width="11.85546875" bestFit="1" customWidth="1"/>
  </cols>
  <sheetData>
    <row r="1" spans="1:17" x14ac:dyDescent="0.25">
      <c r="A1" t="s">
        <v>0</v>
      </c>
      <c r="B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J1" s="5" t="s">
        <v>17</v>
      </c>
      <c r="K1" s="5" t="s">
        <v>18</v>
      </c>
      <c r="L1" s="5" t="s">
        <v>19</v>
      </c>
      <c r="N1" t="s">
        <v>8</v>
      </c>
      <c r="O1" t="s">
        <v>9</v>
      </c>
      <c r="Q1" t="s">
        <v>10</v>
      </c>
    </row>
    <row r="2" spans="1:17" x14ac:dyDescent="0.25">
      <c r="A2">
        <v>1995</v>
      </c>
      <c r="B2">
        <v>2434107.1824442726</v>
      </c>
      <c r="D2" s="1">
        <v>1977179.4587933517</v>
      </c>
      <c r="E2">
        <v>465136.97247708606</v>
      </c>
      <c r="F2">
        <v>166159.05806777312</v>
      </c>
      <c r="G2" s="2">
        <v>3082.3356742642727</v>
      </c>
      <c r="H2" s="3">
        <v>189055.46642204688</v>
      </c>
      <c r="I2" s="3"/>
      <c r="J2" s="6">
        <f>D2</f>
        <v>1977179.4587933517</v>
      </c>
      <c r="K2" s="6">
        <f>E2+G2</f>
        <v>468219.30815135036</v>
      </c>
      <c r="L2" s="6">
        <f>F2-H2</f>
        <v>-22896.408354273764</v>
      </c>
      <c r="N2">
        <f t="shared" ref="N2:N25" si="0">SUM(D2:G2)-H2</f>
        <v>2422502.3585904283</v>
      </c>
      <c r="O2">
        <f t="shared" ref="O2:O25" si="1">N2-B2</f>
        <v>-11604.823853844311</v>
      </c>
      <c r="Q2">
        <f t="shared" ref="Q2:Q25" si="2">O2/B2</f>
        <v>-4.7675895036762604E-3</v>
      </c>
    </row>
    <row r="3" spans="1:17" x14ac:dyDescent="0.25">
      <c r="A3">
        <v>1996</v>
      </c>
      <c r="B3">
        <v>2487873.3009482771</v>
      </c>
      <c r="D3" s="1">
        <v>2016422.4726714715</v>
      </c>
      <c r="E3">
        <v>470697.78331378667</v>
      </c>
      <c r="F3">
        <v>165461.41522218101</v>
      </c>
      <c r="G3" s="2">
        <v>2210.2265251938916</v>
      </c>
      <c r="H3" s="3">
        <v>199631.82503902548</v>
      </c>
      <c r="I3" s="3"/>
      <c r="J3" s="6">
        <f t="shared" ref="J3:J25" si="3">D3</f>
        <v>2016422.4726714715</v>
      </c>
      <c r="K3" s="6">
        <f t="shared" ref="K3:K25" si="4">E3+G3</f>
        <v>472908.00983898056</v>
      </c>
      <c r="L3" s="6">
        <f t="shared" ref="L3:L25" si="5">F3-H3</f>
        <v>-34170.409816844476</v>
      </c>
      <c r="N3">
        <f t="shared" si="0"/>
        <v>2455160.0726936078</v>
      </c>
      <c r="O3">
        <f t="shared" si="1"/>
        <v>-32713.228254669346</v>
      </c>
      <c r="Q3">
        <f t="shared" si="2"/>
        <v>-1.314907324348084E-2</v>
      </c>
    </row>
    <row r="4" spans="1:17" x14ac:dyDescent="0.25">
      <c r="A4">
        <v>1997</v>
      </c>
      <c r="B4">
        <v>2572332.7678252668</v>
      </c>
      <c r="D4" s="1">
        <v>2069200.3095221352</v>
      </c>
      <c r="E4">
        <v>510321.66110243282</v>
      </c>
      <c r="F4">
        <v>183694.08628119904</v>
      </c>
      <c r="G4" s="2">
        <v>1950.5535467103136</v>
      </c>
      <c r="H4" s="3">
        <v>228768.24343161471</v>
      </c>
      <c r="I4" s="3"/>
      <c r="J4" s="6">
        <f t="shared" si="3"/>
        <v>2069200.3095221352</v>
      </c>
      <c r="K4" s="6">
        <f t="shared" si="4"/>
        <v>512272.2146491431</v>
      </c>
      <c r="L4" s="6">
        <f t="shared" si="5"/>
        <v>-45074.157150415675</v>
      </c>
      <c r="N4">
        <f t="shared" si="0"/>
        <v>2536398.3670208626</v>
      </c>
      <c r="O4">
        <f t="shared" si="1"/>
        <v>-35934.400804404169</v>
      </c>
      <c r="Q4">
        <f t="shared" si="2"/>
        <v>-1.3969577052343921E-2</v>
      </c>
    </row>
    <row r="5" spans="1:17" x14ac:dyDescent="0.25">
      <c r="A5">
        <v>1998</v>
      </c>
      <c r="B5">
        <v>2581029.7709445162</v>
      </c>
      <c r="D5" s="1">
        <v>2073081.5024733539</v>
      </c>
      <c r="E5">
        <v>509485.54605950008</v>
      </c>
      <c r="F5">
        <v>192710.16919721133</v>
      </c>
      <c r="G5" s="2">
        <v>2148.5226180710774</v>
      </c>
      <c r="H5" s="3">
        <v>228638.62051586658</v>
      </c>
      <c r="I5" s="3"/>
      <c r="J5" s="6">
        <f t="shared" si="3"/>
        <v>2073081.5024733539</v>
      </c>
      <c r="K5" s="6">
        <f t="shared" si="4"/>
        <v>511634.06867757114</v>
      </c>
      <c r="L5" s="6">
        <f t="shared" si="5"/>
        <v>-35928.45131865525</v>
      </c>
      <c r="N5">
        <f t="shared" si="0"/>
        <v>2548787.1198322698</v>
      </c>
      <c r="O5">
        <f t="shared" si="1"/>
        <v>-32242.651112246327</v>
      </c>
      <c r="Q5">
        <f t="shared" si="2"/>
        <v>-1.2492165520604311E-2</v>
      </c>
    </row>
    <row r="6" spans="1:17" x14ac:dyDescent="0.25">
      <c r="A6">
        <v>1999</v>
      </c>
      <c r="B6">
        <v>2593107.3788499478</v>
      </c>
      <c r="D6" s="1">
        <v>2087395.2804898529</v>
      </c>
      <c r="E6">
        <v>464267.16329697345</v>
      </c>
      <c r="F6">
        <v>203706.7695134583</v>
      </c>
      <c r="G6" s="2">
        <v>3793.3789968020124</v>
      </c>
      <c r="H6" s="3">
        <v>194127.57449294481</v>
      </c>
      <c r="I6" s="3"/>
      <c r="J6" s="6">
        <f t="shared" si="3"/>
        <v>2087395.2804898529</v>
      </c>
      <c r="K6" s="6">
        <f t="shared" si="4"/>
        <v>468060.54229377548</v>
      </c>
      <c r="L6" s="6">
        <f t="shared" si="5"/>
        <v>9579.1950205134926</v>
      </c>
      <c r="N6">
        <f t="shared" si="0"/>
        <v>2565035.0178041421</v>
      </c>
      <c r="O6">
        <f t="shared" si="1"/>
        <v>-28072.361045805737</v>
      </c>
      <c r="Q6">
        <f t="shared" si="2"/>
        <v>-1.0825761121491207E-2</v>
      </c>
    </row>
    <row r="7" spans="1:17" x14ac:dyDescent="0.25">
      <c r="A7">
        <v>2000</v>
      </c>
      <c r="B7">
        <v>2706891.6196534098</v>
      </c>
      <c r="D7" s="1">
        <v>2151116.9629725162</v>
      </c>
      <c r="E7">
        <v>486613.2313619231</v>
      </c>
      <c r="F7">
        <v>229904.57911974503</v>
      </c>
      <c r="G7" s="2">
        <v>13888.387922191483</v>
      </c>
      <c r="H7" s="3">
        <v>215090.6089237392</v>
      </c>
      <c r="I7" s="3"/>
      <c r="J7" s="6">
        <f t="shared" si="3"/>
        <v>2151116.9629725162</v>
      </c>
      <c r="K7" s="6">
        <f t="shared" si="4"/>
        <v>500501.61928411457</v>
      </c>
      <c r="L7" s="6">
        <f t="shared" si="5"/>
        <v>14813.97019600583</v>
      </c>
      <c r="N7">
        <f t="shared" si="0"/>
        <v>2666432.5524526369</v>
      </c>
      <c r="O7">
        <f t="shared" si="1"/>
        <v>-40459.06720077293</v>
      </c>
      <c r="Q7">
        <f t="shared" si="2"/>
        <v>-1.4946689001886712E-2</v>
      </c>
    </row>
    <row r="8" spans="1:17" x14ac:dyDescent="0.25">
      <c r="A8">
        <v>2001</v>
      </c>
      <c r="B8">
        <v>2744514.6089475495</v>
      </c>
      <c r="D8" s="1">
        <v>2176642.2178435726</v>
      </c>
      <c r="E8">
        <v>492960.98180822073</v>
      </c>
      <c r="F8">
        <v>251125.98316121387</v>
      </c>
      <c r="G8" s="2">
        <v>5451.966800467485</v>
      </c>
      <c r="H8" s="3">
        <v>222256.1435895685</v>
      </c>
      <c r="I8" s="3"/>
      <c r="J8" s="6">
        <f t="shared" si="3"/>
        <v>2176642.2178435726</v>
      </c>
      <c r="K8" s="6">
        <f t="shared" si="4"/>
        <v>498412.9486086882</v>
      </c>
      <c r="L8" s="6">
        <f t="shared" si="5"/>
        <v>28869.839571645367</v>
      </c>
      <c r="N8">
        <f t="shared" si="0"/>
        <v>2703925.0060239066</v>
      </c>
      <c r="O8">
        <f t="shared" si="1"/>
        <v>-40589.602923642844</v>
      </c>
      <c r="Q8">
        <f t="shared" si="2"/>
        <v>-1.4789355753951666E-2</v>
      </c>
    </row>
    <row r="9" spans="1:17" x14ac:dyDescent="0.25">
      <c r="A9">
        <v>2002</v>
      </c>
      <c r="B9">
        <v>2828317.3156870594</v>
      </c>
      <c r="D9" s="1">
        <v>2217949.2875443874</v>
      </c>
      <c r="E9">
        <v>485843.73535482353</v>
      </c>
      <c r="F9">
        <v>267390.96597562521</v>
      </c>
      <c r="G9" s="2">
        <v>-11449.969086532361</v>
      </c>
      <c r="H9" s="3">
        <v>192679.92069729458</v>
      </c>
      <c r="I9" s="3"/>
      <c r="J9" s="6">
        <f t="shared" si="3"/>
        <v>2217949.2875443874</v>
      </c>
      <c r="K9" s="6">
        <f t="shared" si="4"/>
        <v>474393.76626829116</v>
      </c>
      <c r="L9" s="6">
        <f t="shared" si="5"/>
        <v>74711.045278330625</v>
      </c>
      <c r="N9">
        <f t="shared" si="0"/>
        <v>2767054.0990910088</v>
      </c>
      <c r="O9">
        <f t="shared" si="1"/>
        <v>-61263.216596050654</v>
      </c>
      <c r="Q9">
        <f t="shared" si="2"/>
        <v>-2.1660658885853654E-2</v>
      </c>
    </row>
    <row r="10" spans="1:17" x14ac:dyDescent="0.25">
      <c r="A10">
        <v>2003</v>
      </c>
      <c r="B10">
        <v>2860583.5798016815</v>
      </c>
      <c r="D10" s="1">
        <v>2217360.5894828807</v>
      </c>
      <c r="E10">
        <v>466485.23163602821</v>
      </c>
      <c r="F10">
        <v>296846.592777443</v>
      </c>
      <c r="G10" s="2">
        <v>-5584.8109790801254</v>
      </c>
      <c r="H10" s="3">
        <v>191748.31866193208</v>
      </c>
      <c r="I10" s="3"/>
      <c r="J10" s="6">
        <f t="shared" si="3"/>
        <v>2217360.5894828807</v>
      </c>
      <c r="K10" s="6">
        <f t="shared" si="4"/>
        <v>460900.42065694806</v>
      </c>
      <c r="L10" s="6">
        <f t="shared" si="5"/>
        <v>105098.27411551093</v>
      </c>
      <c r="N10">
        <f t="shared" si="0"/>
        <v>2783359.2842553402</v>
      </c>
      <c r="O10">
        <f t="shared" si="1"/>
        <v>-77224.295546341222</v>
      </c>
      <c r="Q10">
        <f t="shared" si="2"/>
        <v>-2.6995993437008762E-2</v>
      </c>
    </row>
    <row r="11" spans="1:17" x14ac:dyDescent="0.25">
      <c r="A11">
        <v>2004</v>
      </c>
      <c r="B11">
        <v>3025352.1824060818</v>
      </c>
      <c r="D11" s="1">
        <v>2304110.5226041395</v>
      </c>
      <c r="E11">
        <v>506075.66250328894</v>
      </c>
      <c r="F11">
        <v>339811.51468006772</v>
      </c>
      <c r="G11" s="2">
        <v>-12916.028647226938</v>
      </c>
      <c r="H11" s="3">
        <v>211621.20117408774</v>
      </c>
      <c r="I11" s="3"/>
      <c r="J11" s="6">
        <f t="shared" si="3"/>
        <v>2304110.5226041395</v>
      </c>
      <c r="K11" s="6">
        <f t="shared" si="4"/>
        <v>493159.63385606202</v>
      </c>
      <c r="L11" s="6">
        <f t="shared" si="5"/>
        <v>128190.31350597998</v>
      </c>
      <c r="N11">
        <f t="shared" si="0"/>
        <v>2925460.4699661816</v>
      </c>
      <c r="O11">
        <f t="shared" si="1"/>
        <v>-99891.712439900264</v>
      </c>
      <c r="Q11">
        <f t="shared" si="2"/>
        <v>-3.3018209589224003E-2</v>
      </c>
    </row>
    <row r="12" spans="1:17" x14ac:dyDescent="0.25">
      <c r="A12">
        <v>2005</v>
      </c>
      <c r="B12">
        <v>3122227.9546322366</v>
      </c>
      <c r="D12" s="1">
        <v>2392955.8512971802</v>
      </c>
      <c r="E12">
        <v>515976.0298086293</v>
      </c>
      <c r="F12">
        <v>372583.52705689176</v>
      </c>
      <c r="G12" s="2">
        <v>4226.8792401774972</v>
      </c>
      <c r="H12" s="3">
        <v>227410.96370150475</v>
      </c>
      <c r="I12" s="3"/>
      <c r="J12" s="6">
        <f t="shared" si="3"/>
        <v>2392955.8512971802</v>
      </c>
      <c r="K12" s="6">
        <f t="shared" si="4"/>
        <v>520202.90904880682</v>
      </c>
      <c r="L12" s="6">
        <f t="shared" si="5"/>
        <v>145172.56335538701</v>
      </c>
      <c r="N12">
        <f t="shared" si="0"/>
        <v>3058331.3237013742</v>
      </c>
      <c r="O12">
        <f t="shared" si="1"/>
        <v>-63896.63093086239</v>
      </c>
      <c r="Q12">
        <f t="shared" si="2"/>
        <v>-2.0465075535584555E-2</v>
      </c>
    </row>
    <row r="13" spans="1:17" x14ac:dyDescent="0.25">
      <c r="A13">
        <v>2006</v>
      </c>
      <c r="B13">
        <v>3245930.2736638468</v>
      </c>
      <c r="D13" s="1">
        <v>2509601.3844189011</v>
      </c>
      <c r="E13">
        <v>550344.10091557982</v>
      </c>
      <c r="F13">
        <v>390606.98659753829</v>
      </c>
      <c r="G13" s="2">
        <v>13380.39342345146</v>
      </c>
      <c r="H13" s="3">
        <v>267805.02845286444</v>
      </c>
      <c r="I13" s="3"/>
      <c r="J13" s="6">
        <f t="shared" si="3"/>
        <v>2509601.3844189011</v>
      </c>
      <c r="K13" s="6">
        <f t="shared" si="4"/>
        <v>563724.49433903128</v>
      </c>
      <c r="L13" s="6">
        <f t="shared" si="5"/>
        <v>122801.95814467384</v>
      </c>
      <c r="N13">
        <f t="shared" si="0"/>
        <v>3196127.8369026068</v>
      </c>
      <c r="O13">
        <f t="shared" si="1"/>
        <v>-49802.436761240009</v>
      </c>
      <c r="Q13">
        <f t="shared" si="2"/>
        <v>-1.5343039610344267E-2</v>
      </c>
    </row>
    <row r="14" spans="1:17" x14ac:dyDescent="0.25">
      <c r="A14">
        <v>2007</v>
      </c>
      <c r="B14">
        <v>3442954.0412794445</v>
      </c>
      <c r="D14" s="1">
        <v>2655750.2904651458</v>
      </c>
      <c r="E14">
        <v>616123.47270619695</v>
      </c>
      <c r="F14">
        <v>414731.2711099459</v>
      </c>
      <c r="G14" s="2">
        <v>30565.091464835645</v>
      </c>
      <c r="H14" s="3">
        <v>320181.26111468137</v>
      </c>
      <c r="I14" s="3"/>
      <c r="J14" s="6">
        <f t="shared" si="3"/>
        <v>2655750.2904651458</v>
      </c>
      <c r="K14" s="6">
        <f t="shared" si="4"/>
        <v>646688.56417103263</v>
      </c>
      <c r="L14" s="6">
        <f t="shared" si="5"/>
        <v>94550.009995264525</v>
      </c>
      <c r="N14">
        <f t="shared" si="0"/>
        <v>3396988.8646314433</v>
      </c>
      <c r="O14">
        <f t="shared" si="1"/>
        <v>-45965.176648001187</v>
      </c>
      <c r="Q14">
        <f t="shared" si="2"/>
        <v>-1.3350505437162314E-2</v>
      </c>
    </row>
    <row r="15" spans="1:17" x14ac:dyDescent="0.25">
      <c r="A15">
        <v>2008</v>
      </c>
      <c r="B15">
        <v>3618344.8493311633</v>
      </c>
      <c r="D15" s="1">
        <v>2799218.0392497713</v>
      </c>
      <c r="E15">
        <v>691826.3045853303</v>
      </c>
      <c r="F15">
        <v>416428.56278677145</v>
      </c>
      <c r="G15" s="2">
        <v>40752.011908525456</v>
      </c>
      <c r="H15" s="3">
        <v>374694.39499043464</v>
      </c>
      <c r="I15" s="3"/>
      <c r="J15" s="6">
        <f t="shared" si="3"/>
        <v>2799218.0392497713</v>
      </c>
      <c r="K15" s="6">
        <f t="shared" si="4"/>
        <v>732578.31649385579</v>
      </c>
      <c r="L15" s="6">
        <f t="shared" si="5"/>
        <v>41734.167796336813</v>
      </c>
      <c r="N15">
        <f t="shared" si="0"/>
        <v>3573530.5235399641</v>
      </c>
      <c r="O15">
        <f t="shared" si="1"/>
        <v>-44814.325791199226</v>
      </c>
      <c r="Q15">
        <f t="shared" si="2"/>
        <v>-1.2385310869272997E-2</v>
      </c>
    </row>
    <row r="16" spans="1:17" x14ac:dyDescent="0.25">
      <c r="A16">
        <v>2009</v>
      </c>
      <c r="B16">
        <v>3613792.5372010758</v>
      </c>
      <c r="D16" s="1">
        <v>2913819.0698956051</v>
      </c>
      <c r="E16">
        <v>677063.59732157062</v>
      </c>
      <c r="F16">
        <v>377921.13672016794</v>
      </c>
      <c r="G16" s="2">
        <v>-8875.4020020682874</v>
      </c>
      <c r="H16" s="3">
        <v>346210.24892657745</v>
      </c>
      <c r="I16" s="3"/>
      <c r="J16" s="6">
        <f t="shared" si="3"/>
        <v>2913819.0698956051</v>
      </c>
      <c r="K16" s="6">
        <f t="shared" si="4"/>
        <v>668188.19531950238</v>
      </c>
      <c r="L16" s="6">
        <f t="shared" si="5"/>
        <v>31710.887793590489</v>
      </c>
      <c r="N16">
        <f t="shared" si="0"/>
        <v>3613718.1530086976</v>
      </c>
      <c r="O16">
        <f t="shared" si="1"/>
        <v>-74.384192378260195</v>
      </c>
      <c r="Q16">
        <f t="shared" si="2"/>
        <v>-2.0583415238294672E-5</v>
      </c>
    </row>
    <row r="17" spans="1:17" x14ac:dyDescent="0.25">
      <c r="A17">
        <v>2010</v>
      </c>
      <c r="B17">
        <v>3885847</v>
      </c>
      <c r="D17" s="1">
        <v>3079133</v>
      </c>
      <c r="E17">
        <v>797946</v>
      </c>
      <c r="F17">
        <v>422220</v>
      </c>
      <c r="G17" s="2">
        <v>49220</v>
      </c>
      <c r="H17" s="3">
        <v>462672</v>
      </c>
      <c r="I17" s="3"/>
      <c r="J17" s="6">
        <f t="shared" si="3"/>
        <v>3079133</v>
      </c>
      <c r="K17" s="6">
        <f t="shared" si="4"/>
        <v>847166</v>
      </c>
      <c r="L17" s="6">
        <f t="shared" si="5"/>
        <v>-40452</v>
      </c>
      <c r="N17">
        <f t="shared" si="0"/>
        <v>3885847</v>
      </c>
      <c r="O17">
        <f t="shared" si="1"/>
        <v>0</v>
      </c>
      <c r="Q17">
        <f t="shared" si="2"/>
        <v>0</v>
      </c>
    </row>
    <row r="18" spans="1:17" x14ac:dyDescent="0.25">
      <c r="A18">
        <v>2011</v>
      </c>
      <c r="B18">
        <v>4040286.9999999995</v>
      </c>
      <c r="D18" s="1">
        <v>3208182.0000000005</v>
      </c>
      <c r="E18">
        <v>852478</v>
      </c>
      <c r="F18">
        <v>442537</v>
      </c>
      <c r="G18" s="2">
        <v>43222</v>
      </c>
      <c r="H18" s="3">
        <v>506132</v>
      </c>
      <c r="I18" s="3"/>
      <c r="J18" s="6">
        <f t="shared" si="3"/>
        <v>3208182.0000000005</v>
      </c>
      <c r="K18" s="6">
        <f t="shared" si="4"/>
        <v>895700</v>
      </c>
      <c r="L18" s="6">
        <f t="shared" si="5"/>
        <v>-63595</v>
      </c>
      <c r="N18">
        <f t="shared" si="0"/>
        <v>4040287</v>
      </c>
      <c r="O18">
        <f t="shared" si="1"/>
        <v>0</v>
      </c>
      <c r="Q18">
        <f t="shared" si="2"/>
        <v>0</v>
      </c>
    </row>
    <row r="19" spans="1:17" x14ac:dyDescent="0.25">
      <c r="A19">
        <v>2012</v>
      </c>
      <c r="B19">
        <v>4117908.0235728961</v>
      </c>
      <c r="D19" s="1">
        <v>3311176.018315691</v>
      </c>
      <c r="E19">
        <v>859116.90256306785</v>
      </c>
      <c r="F19">
        <v>445668.57600489259</v>
      </c>
      <c r="G19" s="2">
        <v>17801.064346585579</v>
      </c>
      <c r="H19" s="3">
        <v>511855.60251292161</v>
      </c>
      <c r="I19" s="3"/>
      <c r="J19" s="6">
        <f t="shared" si="3"/>
        <v>3311176.018315691</v>
      </c>
      <c r="K19" s="6">
        <f t="shared" si="4"/>
        <v>876917.96690965339</v>
      </c>
      <c r="L19" s="6">
        <f t="shared" si="5"/>
        <v>-66187.026508029026</v>
      </c>
      <c r="N19">
        <f t="shared" si="0"/>
        <v>4121906.958717315</v>
      </c>
      <c r="O19">
        <f t="shared" si="1"/>
        <v>3998.9351444188505</v>
      </c>
      <c r="Q19">
        <f t="shared" si="2"/>
        <v>9.7110841755741327E-4</v>
      </c>
    </row>
    <row r="20" spans="1:17" x14ac:dyDescent="0.25">
      <c r="A20">
        <v>2013</v>
      </c>
      <c r="B20">
        <v>4241643.8574068584</v>
      </c>
      <c r="D20" s="1">
        <v>3411058.0667526578</v>
      </c>
      <c r="E20">
        <v>909179.37208021712</v>
      </c>
      <c r="F20">
        <v>453825.62603338348</v>
      </c>
      <c r="G20" s="2">
        <v>19112.605051675273</v>
      </c>
      <c r="H20" s="3">
        <v>545994.72966003488</v>
      </c>
      <c r="I20" s="3"/>
      <c r="J20" s="6">
        <f t="shared" si="3"/>
        <v>3411058.0667526578</v>
      </c>
      <c r="K20" s="6">
        <f t="shared" si="4"/>
        <v>928291.97713189234</v>
      </c>
      <c r="L20" s="6">
        <f t="shared" si="5"/>
        <v>-92169.103626651398</v>
      </c>
      <c r="N20">
        <f t="shared" si="0"/>
        <v>4247180.9402578985</v>
      </c>
      <c r="O20">
        <f t="shared" si="1"/>
        <v>5537.082851040177</v>
      </c>
      <c r="Q20">
        <f t="shared" si="2"/>
        <v>1.3054096565347402E-3</v>
      </c>
    </row>
    <row r="21" spans="1:17" x14ac:dyDescent="0.25">
      <c r="A21">
        <v>2014</v>
      </c>
      <c r="B21">
        <v>4263019.8651082087</v>
      </c>
      <c r="D21" s="1">
        <v>3476327.52621418</v>
      </c>
      <c r="E21">
        <v>870775.01122667664</v>
      </c>
      <c r="F21">
        <v>446702.01401610364</v>
      </c>
      <c r="G21" s="2">
        <v>12026.933983699031</v>
      </c>
      <c r="H21" s="3">
        <v>533590.2994619644</v>
      </c>
      <c r="I21" s="3"/>
      <c r="J21" s="6">
        <f t="shared" si="3"/>
        <v>3476327.52621418</v>
      </c>
      <c r="K21" s="6">
        <f t="shared" si="4"/>
        <v>882801.94521037571</v>
      </c>
      <c r="L21" s="6">
        <f t="shared" si="5"/>
        <v>-86888.285445860762</v>
      </c>
      <c r="N21">
        <f t="shared" si="0"/>
        <v>4272241.1859786958</v>
      </c>
      <c r="O21">
        <f t="shared" si="1"/>
        <v>9221.3208704870194</v>
      </c>
      <c r="Q21">
        <f t="shared" si="2"/>
        <v>2.1630959184500429E-3</v>
      </c>
    </row>
    <row r="22" spans="1:17" x14ac:dyDescent="0.25">
      <c r="A22">
        <v>2015</v>
      </c>
      <c r="B22">
        <v>4111863.2672747271</v>
      </c>
      <c r="D22" s="1">
        <v>3378944.7768663755</v>
      </c>
      <c r="E22">
        <v>749332.37250035035</v>
      </c>
      <c r="F22">
        <v>477165.14346693194</v>
      </c>
      <c r="G22" s="2">
        <v>-8723.3019253019702</v>
      </c>
      <c r="H22" s="3">
        <v>457870.43778527813</v>
      </c>
      <c r="I22" s="3"/>
      <c r="J22" s="6">
        <f t="shared" si="3"/>
        <v>3378944.7768663755</v>
      </c>
      <c r="K22" s="6">
        <f t="shared" si="4"/>
        <v>740609.07057504833</v>
      </c>
      <c r="L22" s="6">
        <f t="shared" si="5"/>
        <v>19294.70568165381</v>
      </c>
      <c r="N22">
        <f t="shared" si="0"/>
        <v>4138848.5531230783</v>
      </c>
      <c r="O22">
        <f t="shared" si="1"/>
        <v>26985.285848351195</v>
      </c>
      <c r="Q22">
        <f t="shared" si="2"/>
        <v>6.5627877422676515E-3</v>
      </c>
    </row>
    <row r="23" spans="1:17" x14ac:dyDescent="0.25">
      <c r="A23">
        <v>2016</v>
      </c>
      <c r="B23">
        <v>3975947.5055549322</v>
      </c>
      <c r="D23" s="1">
        <v>3280400.2488059802</v>
      </c>
      <c r="E23">
        <v>658439.65629555879</v>
      </c>
      <c r="F23">
        <v>481283.67777964461</v>
      </c>
      <c r="G23" s="2">
        <v>-14165.204506469785</v>
      </c>
      <c r="H23" s="3">
        <v>410513.20597637782</v>
      </c>
      <c r="I23" s="3"/>
      <c r="J23" s="6">
        <f t="shared" si="3"/>
        <v>3280400.2488059802</v>
      </c>
      <c r="K23" s="6">
        <f t="shared" si="4"/>
        <v>644274.45178908901</v>
      </c>
      <c r="L23" s="6">
        <f t="shared" si="5"/>
        <v>70770.471803266788</v>
      </c>
      <c r="N23">
        <f t="shared" si="0"/>
        <v>3995445.1723983358</v>
      </c>
      <c r="O23">
        <f t="shared" si="1"/>
        <v>19497.666843403596</v>
      </c>
      <c r="Q23">
        <f t="shared" si="2"/>
        <v>4.9039044947557127E-3</v>
      </c>
    </row>
    <row r="24" spans="1:17" x14ac:dyDescent="0.25">
      <c r="A24">
        <v>2017</v>
      </c>
      <c r="B24">
        <v>4018246.070784607</v>
      </c>
      <c r="D24" s="1">
        <v>3307357.307961565</v>
      </c>
      <c r="E24">
        <v>642018.45293089561</v>
      </c>
      <c r="F24">
        <v>506524.74511506746</v>
      </c>
      <c r="G24" s="2">
        <v>3797.1408559848869</v>
      </c>
      <c r="H24" s="3">
        <v>430987.0746068416</v>
      </c>
      <c r="I24" s="3"/>
      <c r="J24" s="6">
        <f t="shared" si="3"/>
        <v>3307357.307961565</v>
      </c>
      <c r="K24" s="6">
        <f t="shared" si="4"/>
        <v>645815.59378688049</v>
      </c>
      <c r="L24" s="6">
        <f t="shared" si="5"/>
        <v>75537.670508225856</v>
      </c>
      <c r="N24">
        <f t="shared" si="0"/>
        <v>4028710.5722566713</v>
      </c>
      <c r="O24">
        <f t="shared" si="1"/>
        <v>10464.501472064294</v>
      </c>
      <c r="Q24">
        <f t="shared" si="2"/>
        <v>2.6042460535576368E-3</v>
      </c>
    </row>
    <row r="25" spans="1:17" x14ac:dyDescent="0.25">
      <c r="A25">
        <v>2018</v>
      </c>
      <c r="B25">
        <v>4063153.1523431633</v>
      </c>
      <c r="D25" s="1">
        <v>3355304.2245189771</v>
      </c>
      <c r="E25">
        <v>668538.54527720576</v>
      </c>
      <c r="F25">
        <v>527062.02491920511</v>
      </c>
      <c r="G25" s="2">
        <v>-13196.818737764537</v>
      </c>
      <c r="H25" s="3">
        <v>467599.09223370219</v>
      </c>
      <c r="I25" s="3"/>
      <c r="J25" s="6">
        <f t="shared" si="3"/>
        <v>3355304.2245189771</v>
      </c>
      <c r="K25" s="6">
        <f t="shared" si="4"/>
        <v>655341.72653944127</v>
      </c>
      <c r="L25" s="6">
        <f t="shared" si="5"/>
        <v>59462.932685502921</v>
      </c>
      <c r="N25">
        <f t="shared" si="0"/>
        <v>4070108.8837439208</v>
      </c>
      <c r="O25">
        <f t="shared" si="1"/>
        <v>6955.7314007575624</v>
      </c>
      <c r="Q25">
        <f t="shared" si="2"/>
        <v>1.7119048039688806E-3</v>
      </c>
    </row>
    <row r="27" spans="1:17" x14ac:dyDescent="0.25">
      <c r="A27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4FB6-4FA6-4738-A45F-628DB0D8B4CB}">
  <dimension ref="A1:H30"/>
  <sheetViews>
    <sheetView workbookViewId="0">
      <selection activeCell="G25" sqref="G25"/>
    </sheetView>
  </sheetViews>
  <sheetFormatPr defaultRowHeight="15" x14ac:dyDescent="0.25"/>
  <cols>
    <col min="2" max="2" width="19.28515625" bestFit="1" customWidth="1"/>
    <col min="3" max="3" width="26" bestFit="1" customWidth="1"/>
    <col min="4" max="4" width="9.85546875" bestFit="1" customWidth="1"/>
    <col min="7" max="7" width="23.5703125" customWidth="1"/>
    <col min="8" max="8" width="11.85546875" bestFit="1" customWidth="1"/>
    <col min="11" max="11" width="11.42578125" bestFit="1" customWidth="1"/>
  </cols>
  <sheetData>
    <row r="1" spans="1:8" ht="60" x14ac:dyDescent="0.25">
      <c r="A1" t="s">
        <v>15</v>
      </c>
      <c r="B1" t="s">
        <v>14</v>
      </c>
      <c r="C1" t="s">
        <v>13</v>
      </c>
      <c r="D1" s="5" t="s">
        <v>16</v>
      </c>
      <c r="F1" t="s">
        <v>15</v>
      </c>
      <c r="G1" s="8" t="s">
        <v>20</v>
      </c>
      <c r="H1" s="9" t="s">
        <v>21</v>
      </c>
    </row>
    <row r="2" spans="1:8" x14ac:dyDescent="0.25">
      <c r="A2">
        <v>1995</v>
      </c>
      <c r="B2">
        <v>101447505</v>
      </c>
      <c r="C2">
        <v>7292678</v>
      </c>
      <c r="D2" s="7">
        <f>SUM(B2:C2)</f>
        <v>108740183</v>
      </c>
      <c r="F2">
        <v>1995</v>
      </c>
      <c r="G2">
        <v>59.785999298095703</v>
      </c>
      <c r="H2">
        <f>ROUND((D2*(G2/100)/1000),0)</f>
        <v>65011</v>
      </c>
    </row>
    <row r="3" spans="1:8" x14ac:dyDescent="0.25">
      <c r="A3">
        <v>1996</v>
      </c>
      <c r="B3">
        <v>103792330</v>
      </c>
      <c r="C3">
        <v>7605493</v>
      </c>
      <c r="D3" s="7">
        <f t="shared" ref="D3:D24" si="0">SUM(B3:C3)</f>
        <v>111397823</v>
      </c>
      <c r="F3">
        <v>1996</v>
      </c>
      <c r="G3">
        <v>57.970001220703097</v>
      </c>
      <c r="H3">
        <f t="shared" ref="H3:H25" si="1">ROUND((D3*(G3/100)/1000),0)</f>
        <v>64577</v>
      </c>
    </row>
    <row r="4" spans="1:8" x14ac:dyDescent="0.25">
      <c r="A4">
        <v>1997</v>
      </c>
      <c r="B4">
        <v>106226861</v>
      </c>
      <c r="C4">
        <v>7907561</v>
      </c>
      <c r="D4" s="7">
        <f t="shared" si="0"/>
        <v>114134422</v>
      </c>
      <c r="F4">
        <v>1997</v>
      </c>
      <c r="G4">
        <v>58.0130004882813</v>
      </c>
      <c r="H4">
        <f t="shared" si="1"/>
        <v>66213</v>
      </c>
    </row>
    <row r="5" spans="1:8" x14ac:dyDescent="0.25">
      <c r="A5">
        <v>1998</v>
      </c>
      <c r="B5">
        <v>108711345</v>
      </c>
      <c r="C5">
        <v>8210631</v>
      </c>
      <c r="D5" s="7">
        <f t="shared" si="0"/>
        <v>116921976</v>
      </c>
      <c r="F5">
        <v>1998</v>
      </c>
      <c r="G5">
        <v>57.394001007080099</v>
      </c>
      <c r="H5">
        <f t="shared" si="1"/>
        <v>67106</v>
      </c>
    </row>
    <row r="6" spans="1:8" x14ac:dyDescent="0.25">
      <c r="A6">
        <v>1999</v>
      </c>
      <c r="B6">
        <v>111185470</v>
      </c>
      <c r="C6">
        <v>8531143</v>
      </c>
      <c r="D6" s="7">
        <f t="shared" si="0"/>
        <v>119716613</v>
      </c>
      <c r="F6">
        <v>1999</v>
      </c>
      <c r="G6">
        <v>57.410999298095703</v>
      </c>
      <c r="H6">
        <f t="shared" si="1"/>
        <v>68731</v>
      </c>
    </row>
    <row r="7" spans="1:8" x14ac:dyDescent="0.25">
      <c r="A7">
        <v>2000</v>
      </c>
      <c r="B7">
        <v>113611797</v>
      </c>
      <c r="C7">
        <v>8878745</v>
      </c>
      <c r="D7" s="7">
        <f t="shared" si="0"/>
        <v>122490542</v>
      </c>
      <c r="F7">
        <v>2000</v>
      </c>
      <c r="G7">
        <v>57.813999176025398</v>
      </c>
      <c r="H7">
        <f t="shared" si="1"/>
        <v>70817</v>
      </c>
    </row>
    <row r="8" spans="1:8" x14ac:dyDescent="0.25">
      <c r="A8">
        <v>2001</v>
      </c>
      <c r="B8">
        <v>115838942</v>
      </c>
      <c r="C8">
        <v>9280107</v>
      </c>
      <c r="D8" s="7">
        <f t="shared" si="0"/>
        <v>125119049</v>
      </c>
      <c r="F8">
        <v>2001</v>
      </c>
      <c r="G8">
        <v>58.198001861572301</v>
      </c>
      <c r="H8">
        <f t="shared" si="1"/>
        <v>72817</v>
      </c>
    </row>
    <row r="9" spans="1:8" x14ac:dyDescent="0.25">
      <c r="A9">
        <v>2002</v>
      </c>
      <c r="B9">
        <v>118076415</v>
      </c>
      <c r="C9">
        <v>9712231</v>
      </c>
      <c r="D9" s="7">
        <f t="shared" si="0"/>
        <v>127788646</v>
      </c>
      <c r="F9">
        <v>2002</v>
      </c>
      <c r="G9">
        <v>58.981998443603501</v>
      </c>
      <c r="H9">
        <f t="shared" si="1"/>
        <v>75372</v>
      </c>
    </row>
    <row r="10" spans="1:8" x14ac:dyDescent="0.25">
      <c r="A10">
        <v>2003</v>
      </c>
      <c r="B10">
        <v>120293448</v>
      </c>
      <c r="C10">
        <v>10161594</v>
      </c>
      <c r="D10" s="7">
        <f t="shared" si="0"/>
        <v>130455042</v>
      </c>
      <c r="F10">
        <v>2003</v>
      </c>
      <c r="G10">
        <v>58.590000152587898</v>
      </c>
      <c r="H10">
        <f t="shared" si="1"/>
        <v>76434</v>
      </c>
    </row>
    <row r="11" spans="1:8" x14ac:dyDescent="0.25">
      <c r="A11">
        <v>2004</v>
      </c>
      <c r="B11">
        <v>122462351</v>
      </c>
      <c r="C11">
        <v>10607511</v>
      </c>
      <c r="D11" s="7">
        <f t="shared" si="0"/>
        <v>133069862</v>
      </c>
      <c r="F11">
        <v>2004</v>
      </c>
      <c r="G11">
        <v>59.792999267578097</v>
      </c>
      <c r="H11">
        <f t="shared" si="1"/>
        <v>79566</v>
      </c>
    </row>
    <row r="12" spans="1:8" x14ac:dyDescent="0.25">
      <c r="A12">
        <v>2005</v>
      </c>
      <c r="B12">
        <v>124574843</v>
      </c>
      <c r="C12">
        <v>11040636</v>
      </c>
      <c r="D12" s="7">
        <f t="shared" si="0"/>
        <v>135615479</v>
      </c>
      <c r="F12">
        <v>2005</v>
      </c>
      <c r="G12">
        <v>60.055000305175803</v>
      </c>
      <c r="H12">
        <f t="shared" si="1"/>
        <v>81444</v>
      </c>
    </row>
    <row r="13" spans="1:8" x14ac:dyDescent="0.25">
      <c r="A13">
        <v>2006</v>
      </c>
      <c r="B13">
        <v>126693491</v>
      </c>
      <c r="C13">
        <v>11472602</v>
      </c>
      <c r="D13" s="7">
        <f t="shared" si="0"/>
        <v>138166093</v>
      </c>
      <c r="F13">
        <v>2006</v>
      </c>
      <c r="G13">
        <v>60.304000854492202</v>
      </c>
      <c r="H13">
        <f t="shared" si="1"/>
        <v>83320</v>
      </c>
    </row>
    <row r="14" spans="1:8" x14ac:dyDescent="0.25">
      <c r="A14">
        <v>2007</v>
      </c>
      <c r="B14">
        <v>128718032</v>
      </c>
      <c r="C14">
        <v>11890872</v>
      </c>
      <c r="D14" s="7">
        <f t="shared" si="0"/>
        <v>140608904</v>
      </c>
      <c r="F14">
        <v>2007</v>
      </c>
      <c r="G14">
        <v>60.2299995422363</v>
      </c>
      <c r="H14">
        <f t="shared" si="1"/>
        <v>84689</v>
      </c>
    </row>
    <row r="15" spans="1:8" x14ac:dyDescent="0.25">
      <c r="A15">
        <v>2008</v>
      </c>
      <c r="B15">
        <v>130677686</v>
      </c>
      <c r="C15">
        <v>12312707</v>
      </c>
      <c r="D15" s="7">
        <f t="shared" si="0"/>
        <v>142990393</v>
      </c>
      <c r="F15">
        <v>2008</v>
      </c>
      <c r="G15">
        <v>60.869998931884801</v>
      </c>
      <c r="H15">
        <f t="shared" si="1"/>
        <v>87038</v>
      </c>
    </row>
    <row r="16" spans="1:8" x14ac:dyDescent="0.25">
      <c r="A16">
        <v>2009</v>
      </c>
      <c r="B16">
        <v>132613519</v>
      </c>
      <c r="C16">
        <v>12761889</v>
      </c>
      <c r="D16" s="7">
        <f t="shared" si="0"/>
        <v>145375408</v>
      </c>
      <c r="F16">
        <v>2009</v>
      </c>
      <c r="G16">
        <v>60.294998168945298</v>
      </c>
      <c r="H16">
        <f t="shared" si="1"/>
        <v>87654</v>
      </c>
    </row>
    <row r="17" spans="1:8" x14ac:dyDescent="0.25">
      <c r="A17">
        <v>2010</v>
      </c>
      <c r="B17">
        <v>134537486</v>
      </c>
      <c r="C17">
        <v>13253009</v>
      </c>
      <c r="D17" s="7">
        <f t="shared" si="0"/>
        <v>147790495</v>
      </c>
      <c r="F17">
        <v>2010</v>
      </c>
      <c r="G17">
        <v>59.784999847412102</v>
      </c>
      <c r="H17">
        <f t="shared" si="1"/>
        <v>88357</v>
      </c>
    </row>
    <row r="18" spans="1:8" x14ac:dyDescent="0.25">
      <c r="A18">
        <v>2011</v>
      </c>
      <c r="B18">
        <v>136396096</v>
      </c>
      <c r="C18">
        <v>13811826</v>
      </c>
      <c r="D18" s="7">
        <f t="shared" si="0"/>
        <v>150207922</v>
      </c>
      <c r="F18">
        <v>2011</v>
      </c>
      <c r="G18">
        <v>59.2439994812012</v>
      </c>
      <c r="H18">
        <f t="shared" si="1"/>
        <v>88989</v>
      </c>
    </row>
    <row r="19" spans="1:8" x14ac:dyDescent="0.25">
      <c r="A19">
        <v>2012</v>
      </c>
      <c r="B19">
        <v>138204657</v>
      </c>
      <c r="C19">
        <v>14400646</v>
      </c>
      <c r="D19" s="7">
        <f t="shared" si="0"/>
        <v>152605303</v>
      </c>
      <c r="F19">
        <v>2012</v>
      </c>
      <c r="G19">
        <v>59.722000122070298</v>
      </c>
      <c r="H19">
        <f t="shared" si="1"/>
        <v>91139</v>
      </c>
    </row>
    <row r="20" spans="1:8" x14ac:dyDescent="0.25">
      <c r="A20">
        <v>2013</v>
      </c>
      <c r="B20">
        <v>139955289</v>
      </c>
      <c r="C20">
        <v>15024339</v>
      </c>
      <c r="D20" s="7">
        <f t="shared" si="0"/>
        <v>154979628</v>
      </c>
      <c r="F20">
        <v>2013</v>
      </c>
      <c r="G20">
        <v>59.742000579833999</v>
      </c>
      <c r="H20">
        <f t="shared" si="1"/>
        <v>92588</v>
      </c>
    </row>
    <row r="21" spans="1:8" x14ac:dyDescent="0.25">
      <c r="A21">
        <v>2014</v>
      </c>
      <c r="B21">
        <v>141628142</v>
      </c>
      <c r="C21">
        <v>15687812</v>
      </c>
      <c r="D21" s="7">
        <f t="shared" si="0"/>
        <v>157315954</v>
      </c>
      <c r="F21">
        <v>2014</v>
      </c>
      <c r="G21">
        <v>59.683998107910199</v>
      </c>
      <c r="H21">
        <f t="shared" si="1"/>
        <v>93892</v>
      </c>
    </row>
    <row r="22" spans="1:8" x14ac:dyDescent="0.25">
      <c r="A22">
        <v>2015</v>
      </c>
      <c r="B22">
        <v>143204007</v>
      </c>
      <c r="C22">
        <v>16395455</v>
      </c>
      <c r="D22" s="7">
        <f t="shared" si="0"/>
        <v>159599462</v>
      </c>
      <c r="F22">
        <v>2015</v>
      </c>
      <c r="G22">
        <v>58.691001892089801</v>
      </c>
      <c r="H22">
        <f t="shared" si="1"/>
        <v>93671</v>
      </c>
    </row>
    <row r="23" spans="1:8" x14ac:dyDescent="0.25">
      <c r="A23">
        <v>2016</v>
      </c>
      <c r="B23">
        <v>144560447</v>
      </c>
      <c r="C23">
        <v>17125821</v>
      </c>
      <c r="D23" s="7">
        <f t="shared" si="0"/>
        <v>161686268</v>
      </c>
      <c r="F23">
        <v>2016</v>
      </c>
      <c r="G23">
        <v>56.423999786377003</v>
      </c>
      <c r="H23">
        <f t="shared" si="1"/>
        <v>91230</v>
      </c>
    </row>
    <row r="24" spans="1:8" x14ac:dyDescent="0.25">
      <c r="A24">
        <v>2017</v>
      </c>
      <c r="B24">
        <v>145874933</v>
      </c>
      <c r="C24">
        <v>17899128</v>
      </c>
      <c r="D24" s="7">
        <f t="shared" si="0"/>
        <v>163774061</v>
      </c>
      <c r="F24">
        <v>2017</v>
      </c>
      <c r="G24">
        <v>55.877998352050803</v>
      </c>
      <c r="H24">
        <f t="shared" si="1"/>
        <v>91514</v>
      </c>
    </row>
    <row r="25" spans="1:8" x14ac:dyDescent="0.25">
      <c r="F25">
        <v>2018</v>
      </c>
      <c r="G25">
        <v>55.923999786377003</v>
      </c>
      <c r="H25">
        <f t="shared" si="1"/>
        <v>0</v>
      </c>
    </row>
    <row r="29" spans="1:8" x14ac:dyDescent="0.25">
      <c r="A29" t="s">
        <v>12</v>
      </c>
      <c r="F29" t="s">
        <v>12</v>
      </c>
    </row>
    <row r="30" spans="1:8" x14ac:dyDescent="0.25">
      <c r="A30" t="s">
        <v>11</v>
      </c>
      <c r="F30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519A-DB60-4FC1-B6FB-876CC89822F2}">
  <dimension ref="A1:R171"/>
  <sheetViews>
    <sheetView workbookViewId="0">
      <selection activeCell="I5" sqref="I5"/>
    </sheetView>
  </sheetViews>
  <sheetFormatPr defaultRowHeight="15" x14ac:dyDescent="0.25"/>
  <cols>
    <col min="7" max="7" width="13.42578125" bestFit="1" customWidth="1"/>
    <col min="9" max="9" width="23.42578125" customWidth="1"/>
    <col min="13" max="13" width="26.140625" customWidth="1"/>
    <col min="14" max="14" width="13" customWidth="1"/>
  </cols>
  <sheetData>
    <row r="1" spans="1:18" ht="45" x14ac:dyDescent="0.25">
      <c r="A1" t="s">
        <v>0</v>
      </c>
      <c r="B1" s="8" t="s">
        <v>24</v>
      </c>
      <c r="C1" s="8" t="s">
        <v>25</v>
      </c>
      <c r="D1" s="8" t="s">
        <v>26</v>
      </c>
      <c r="E1" s="9" t="s">
        <v>28</v>
      </c>
      <c r="L1" s="8" t="s">
        <v>15</v>
      </c>
      <c r="M1" s="8" t="s">
        <v>20</v>
      </c>
      <c r="N1" s="8" t="s">
        <v>30</v>
      </c>
      <c r="O1" s="13" t="s">
        <v>31</v>
      </c>
    </row>
    <row r="2" spans="1:18" x14ac:dyDescent="0.25">
      <c r="A2">
        <v>1995</v>
      </c>
      <c r="B2">
        <v>40.4</v>
      </c>
      <c r="E2">
        <f>B2</f>
        <v>40.4</v>
      </c>
      <c r="F2" s="4" t="s">
        <v>27</v>
      </c>
      <c r="G2" s="4"/>
      <c r="L2" s="8">
        <v>1995</v>
      </c>
      <c r="M2" s="8">
        <v>59.785999298095703</v>
      </c>
      <c r="N2">
        <f>M2/100</f>
        <v>0.59785999298095704</v>
      </c>
      <c r="O2" s="17">
        <f>N2*$I$5</f>
        <v>0.20893405167652024</v>
      </c>
      <c r="R2" s="29"/>
    </row>
    <row r="3" spans="1:18" x14ac:dyDescent="0.25">
      <c r="A3">
        <v>1996</v>
      </c>
      <c r="B3">
        <v>41.4</v>
      </c>
      <c r="E3" s="29">
        <f t="shared" ref="E3:E8" si="0">B3</f>
        <v>41.4</v>
      </c>
      <c r="F3" s="4" t="s">
        <v>22</v>
      </c>
      <c r="G3" s="4" t="s">
        <v>23</v>
      </c>
      <c r="I3" s="4" t="s">
        <v>29</v>
      </c>
      <c r="L3" s="8">
        <v>1996</v>
      </c>
      <c r="M3" s="8">
        <v>57.970001220703097</v>
      </c>
      <c r="N3" s="29">
        <f t="shared" ref="N3:N25" si="1">M3/100</f>
        <v>0.57970001220703093</v>
      </c>
      <c r="O3" s="17">
        <f t="shared" ref="O3:O25" si="2">N3*$I$5</f>
        <v>0.20258768562759658</v>
      </c>
      <c r="R3" s="29"/>
    </row>
    <row r="4" spans="1:18" x14ac:dyDescent="0.25">
      <c r="A4">
        <v>1997</v>
      </c>
      <c r="B4">
        <v>40.799999999999997</v>
      </c>
      <c r="E4" s="29">
        <f t="shared" si="0"/>
        <v>40.799999999999997</v>
      </c>
      <c r="F4" s="24">
        <v>37316</v>
      </c>
      <c r="G4" s="23">
        <v>42.9</v>
      </c>
      <c r="I4" s="11">
        <f>AVERAGE(E2:E25)</f>
        <v>39.140624999999993</v>
      </c>
      <c r="L4" s="8">
        <v>1997</v>
      </c>
      <c r="M4" s="8">
        <v>58.0130004882813</v>
      </c>
      <c r="N4" s="29">
        <f t="shared" si="1"/>
        <v>0.58013000488281297</v>
      </c>
      <c r="O4" s="17">
        <f t="shared" si="2"/>
        <v>0.20273795511041381</v>
      </c>
      <c r="R4" s="29"/>
    </row>
    <row r="5" spans="1:18" x14ac:dyDescent="0.25">
      <c r="A5">
        <v>1998</v>
      </c>
      <c r="B5">
        <v>40.799999999999997</v>
      </c>
      <c r="E5" s="29">
        <f t="shared" si="0"/>
        <v>40.799999999999997</v>
      </c>
      <c r="F5" s="24">
        <v>37347</v>
      </c>
      <c r="G5" s="23">
        <v>42.7</v>
      </c>
      <c r="I5">
        <f>I4/(16*7)</f>
        <v>0.34946986607142849</v>
      </c>
      <c r="L5" s="8">
        <v>1998</v>
      </c>
      <c r="M5" s="8">
        <v>57.394001007080099</v>
      </c>
      <c r="N5" s="29">
        <f t="shared" si="1"/>
        <v>0.57394001007080098</v>
      </c>
      <c r="O5" s="17">
        <f t="shared" si="2"/>
        <v>0.20057473845247714</v>
      </c>
    </row>
    <row r="6" spans="1:18" ht="45" x14ac:dyDescent="0.25">
      <c r="A6">
        <v>1999</v>
      </c>
      <c r="B6">
        <v>40.200000000000003</v>
      </c>
      <c r="E6" s="29">
        <f t="shared" si="0"/>
        <v>40.200000000000003</v>
      </c>
      <c r="F6" s="24">
        <v>37377</v>
      </c>
      <c r="G6" s="23">
        <v>42.6</v>
      </c>
      <c r="I6" s="16" t="s">
        <v>32</v>
      </c>
      <c r="L6" s="8">
        <v>1999</v>
      </c>
      <c r="M6" s="8">
        <v>57.410999298095703</v>
      </c>
      <c r="N6" s="29">
        <f t="shared" si="1"/>
        <v>0.574109992980957</v>
      </c>
      <c r="O6" s="17">
        <f t="shared" si="2"/>
        <v>0.2006341423573238</v>
      </c>
    </row>
    <row r="7" spans="1:18" x14ac:dyDescent="0.25">
      <c r="A7">
        <v>2000</v>
      </c>
      <c r="E7" s="29">
        <f t="shared" si="0"/>
        <v>0</v>
      </c>
      <c r="F7" s="24">
        <v>37408</v>
      </c>
      <c r="G7" s="23">
        <v>42.6</v>
      </c>
      <c r="L7" s="8">
        <v>2000</v>
      </c>
      <c r="M7" s="8">
        <v>57.813999176025398</v>
      </c>
      <c r="N7" s="29">
        <f t="shared" si="1"/>
        <v>0.57813999176025399</v>
      </c>
      <c r="O7" s="17">
        <f t="shared" si="2"/>
        <v>0.20204250549099273</v>
      </c>
    </row>
    <row r="8" spans="1:18" ht="48" customHeight="1" x14ac:dyDescent="0.25">
      <c r="A8">
        <v>2001</v>
      </c>
      <c r="B8">
        <v>41.8</v>
      </c>
      <c r="E8" s="29">
        <f t="shared" si="0"/>
        <v>41.8</v>
      </c>
      <c r="F8" s="24">
        <v>37438</v>
      </c>
      <c r="G8" s="23">
        <v>42.6</v>
      </c>
      <c r="I8" s="36" t="s">
        <v>61</v>
      </c>
      <c r="L8" s="8">
        <v>2001</v>
      </c>
      <c r="M8" s="8">
        <v>58.198001861572301</v>
      </c>
      <c r="N8" s="29">
        <f t="shared" si="1"/>
        <v>0.58198001861572302</v>
      </c>
      <c r="O8" s="17">
        <f t="shared" si="2"/>
        <v>0.20338447916188418</v>
      </c>
    </row>
    <row r="9" spans="1:18" ht="60" x14ac:dyDescent="0.25">
      <c r="A9">
        <v>2002</v>
      </c>
      <c r="B9">
        <v>42.2</v>
      </c>
      <c r="C9" s="11">
        <f>AVERAGE(G4:G13)</f>
        <v>42.6</v>
      </c>
      <c r="E9" s="11">
        <f>C9</f>
        <v>42.6</v>
      </c>
      <c r="F9" s="24">
        <v>37469</v>
      </c>
      <c r="G9" s="23">
        <v>42.4</v>
      </c>
      <c r="I9" s="36" t="s">
        <v>62</v>
      </c>
      <c r="L9" s="8">
        <v>2002</v>
      </c>
      <c r="M9" s="8">
        <v>58.981998443603501</v>
      </c>
      <c r="N9" s="29">
        <f t="shared" si="1"/>
        <v>0.58981998443603501</v>
      </c>
      <c r="O9" s="17">
        <f t="shared" si="2"/>
        <v>0.2061243109671132</v>
      </c>
    </row>
    <row r="10" spans="1:18" x14ac:dyDescent="0.25">
      <c r="A10">
        <v>2003</v>
      </c>
      <c r="B10">
        <v>42</v>
      </c>
      <c r="C10" s="11">
        <f>AVERAGE(G14:G25)</f>
        <v>42.491666666666667</v>
      </c>
      <c r="E10" s="11">
        <f t="shared" ref="E10:E18" si="3">C10</f>
        <v>42.491666666666667</v>
      </c>
      <c r="F10" s="24">
        <v>37500</v>
      </c>
      <c r="G10" s="23">
        <v>42.6</v>
      </c>
      <c r="L10" s="8">
        <v>2003</v>
      </c>
      <c r="M10" s="8">
        <v>58.590000152587898</v>
      </c>
      <c r="N10" s="29">
        <f t="shared" si="1"/>
        <v>0.58590000152587896</v>
      </c>
      <c r="O10" s="17">
        <f t="shared" si="2"/>
        <v>0.20475439506449866</v>
      </c>
    </row>
    <row r="11" spans="1:18" x14ac:dyDescent="0.25">
      <c r="A11">
        <v>2004</v>
      </c>
      <c r="B11">
        <v>41.9</v>
      </c>
      <c r="C11" s="11">
        <f>AVERAGE(G26:G37)</f>
        <v>42.408333333333331</v>
      </c>
      <c r="E11" s="11">
        <f t="shared" si="3"/>
        <v>42.408333333333331</v>
      </c>
      <c r="F11" s="24">
        <v>37530</v>
      </c>
      <c r="G11" s="23">
        <v>42.5</v>
      </c>
      <c r="L11" s="8">
        <v>2004</v>
      </c>
      <c r="M11" s="8">
        <v>59.792999267578097</v>
      </c>
      <c r="N11" s="29">
        <f t="shared" si="1"/>
        <v>0.59792999267578095</v>
      </c>
      <c r="O11" s="17">
        <f t="shared" si="2"/>
        <v>0.20895851446049538</v>
      </c>
    </row>
    <row r="12" spans="1:18" x14ac:dyDescent="0.25">
      <c r="A12">
        <v>2005</v>
      </c>
      <c r="C12" s="11">
        <f>AVERAGE(G38:G49)</f>
        <v>42.349999999999994</v>
      </c>
      <c r="E12" s="11">
        <f t="shared" si="3"/>
        <v>42.349999999999994</v>
      </c>
      <c r="F12" s="24">
        <v>37561</v>
      </c>
      <c r="G12" s="23">
        <v>42.5</v>
      </c>
      <c r="L12" s="8">
        <v>2005</v>
      </c>
      <c r="M12" s="8">
        <v>60.055000305175803</v>
      </c>
      <c r="N12" s="29">
        <f t="shared" si="1"/>
        <v>0.60055000305175799</v>
      </c>
      <c r="O12" s="17">
        <f t="shared" si="2"/>
        <v>0.20987412913569384</v>
      </c>
    </row>
    <row r="13" spans="1:18" x14ac:dyDescent="0.25">
      <c r="A13">
        <v>2006</v>
      </c>
      <c r="C13" s="11">
        <f>AVERAGE(G50:G61)</f>
        <v>42.241666666666667</v>
      </c>
      <c r="E13" s="11">
        <f t="shared" si="3"/>
        <v>42.241666666666667</v>
      </c>
      <c r="F13" s="24">
        <v>37591</v>
      </c>
      <c r="G13" s="23">
        <v>42.6</v>
      </c>
      <c r="L13" s="8">
        <v>2006</v>
      </c>
      <c r="M13" s="8">
        <v>60.304000854492202</v>
      </c>
      <c r="N13" s="29">
        <f t="shared" si="1"/>
        <v>0.60304000854492201</v>
      </c>
      <c r="O13" s="17">
        <f t="shared" si="2"/>
        <v>0.21074431102190699</v>
      </c>
    </row>
    <row r="14" spans="1:18" x14ac:dyDescent="0.25">
      <c r="A14" s="23">
        <v>2007</v>
      </c>
      <c r="C14" s="11">
        <f>AVERAGE(G62:G73)</f>
        <v>42.108333333333334</v>
      </c>
      <c r="E14" s="11">
        <f t="shared" si="3"/>
        <v>42.108333333333334</v>
      </c>
      <c r="F14" s="24">
        <v>37622</v>
      </c>
      <c r="G14" s="23">
        <v>42.5</v>
      </c>
      <c r="L14" s="8">
        <v>2007</v>
      </c>
      <c r="M14" s="8">
        <v>60.2299995422363</v>
      </c>
      <c r="N14" s="29">
        <f t="shared" si="1"/>
        <v>0.60229999542236301</v>
      </c>
      <c r="O14" s="17">
        <f t="shared" si="2"/>
        <v>0.21048569873507519</v>
      </c>
    </row>
    <row r="15" spans="1:18" x14ac:dyDescent="0.25">
      <c r="A15" s="23">
        <v>2008</v>
      </c>
      <c r="C15" s="11">
        <f>AVERAGE(G74:G85)</f>
        <v>42.050000000000004</v>
      </c>
      <c r="E15" s="11">
        <f t="shared" si="3"/>
        <v>42.050000000000004</v>
      </c>
      <c r="F15" s="24">
        <v>37653</v>
      </c>
      <c r="G15" s="23">
        <v>42.5</v>
      </c>
      <c r="L15" s="8">
        <v>2008</v>
      </c>
      <c r="M15" s="8">
        <v>60.869998931884801</v>
      </c>
      <c r="N15" s="29">
        <f t="shared" si="1"/>
        <v>0.60869998931884806</v>
      </c>
      <c r="O15" s="17">
        <f t="shared" si="2"/>
        <v>0.21272230374493778</v>
      </c>
    </row>
    <row r="16" spans="1:18" x14ac:dyDescent="0.25">
      <c r="A16" s="23">
        <v>2009</v>
      </c>
      <c r="C16" s="11">
        <f>AVERAGE(G86:G97)</f>
        <v>41.891666666666666</v>
      </c>
      <c r="E16" s="11">
        <f t="shared" si="3"/>
        <v>41.891666666666666</v>
      </c>
      <c r="F16" s="24">
        <v>37681</v>
      </c>
      <c r="G16" s="23">
        <v>42.6</v>
      </c>
      <c r="L16" s="8">
        <v>2009</v>
      </c>
      <c r="M16" s="8">
        <v>60.294998168945298</v>
      </c>
      <c r="N16" s="29">
        <f t="shared" si="1"/>
        <v>0.60294998168945302</v>
      </c>
      <c r="O16" s="17">
        <f t="shared" si="2"/>
        <v>0.2107128493487834</v>
      </c>
    </row>
    <row r="17" spans="1:15" x14ac:dyDescent="0.25">
      <c r="A17" s="23">
        <v>2010</v>
      </c>
      <c r="C17" s="11">
        <f>AVERAGE(G98:G109)</f>
        <v>41.8</v>
      </c>
      <c r="E17" s="11">
        <f t="shared" si="3"/>
        <v>41.8</v>
      </c>
      <c r="F17" s="24">
        <v>37712</v>
      </c>
      <c r="G17" s="23">
        <v>42.5</v>
      </c>
      <c r="L17" s="8">
        <v>2010</v>
      </c>
      <c r="M17" s="8">
        <v>59.784999847412102</v>
      </c>
      <c r="N17" s="29">
        <f t="shared" si="1"/>
        <v>0.59784999847412101</v>
      </c>
      <c r="O17" s="17">
        <f t="shared" si="2"/>
        <v>0.2089305588975548</v>
      </c>
    </row>
    <row r="18" spans="1:15" x14ac:dyDescent="0.25">
      <c r="A18" s="23">
        <v>2011</v>
      </c>
      <c r="C18" s="11">
        <f>AVERAGE(G110:G121)</f>
        <v>42.033333333333339</v>
      </c>
      <c r="E18" s="11">
        <f t="shared" si="3"/>
        <v>42.033333333333339</v>
      </c>
      <c r="F18" s="24">
        <v>37742</v>
      </c>
      <c r="G18" s="23">
        <v>42.5</v>
      </c>
      <c r="L18" s="8">
        <v>2011</v>
      </c>
      <c r="M18" s="8">
        <v>59.2439994812012</v>
      </c>
      <c r="N18" s="29">
        <f t="shared" si="1"/>
        <v>0.59243999481201204</v>
      </c>
      <c r="O18" s="17">
        <f t="shared" si="2"/>
        <v>0.20703992564231163</v>
      </c>
    </row>
    <row r="19" spans="1:15" x14ac:dyDescent="0.25">
      <c r="A19" s="29">
        <v>2012</v>
      </c>
      <c r="C19" s="11">
        <f>AVERAGE(G122:G133)</f>
        <v>41.9</v>
      </c>
      <c r="D19" s="30">
        <v>39.22</v>
      </c>
      <c r="E19" s="12">
        <f>D19</f>
        <v>39.22</v>
      </c>
      <c r="F19" s="24">
        <v>37773</v>
      </c>
      <c r="G19" s="23">
        <v>42.4</v>
      </c>
      <c r="L19" s="8">
        <v>2012</v>
      </c>
      <c r="M19" s="8">
        <v>59.722000122070298</v>
      </c>
      <c r="N19" s="29">
        <f t="shared" si="1"/>
        <v>0.59722000122070296</v>
      </c>
      <c r="O19" s="17">
        <f t="shared" si="2"/>
        <v>0.20871039384177742</v>
      </c>
    </row>
    <row r="20" spans="1:15" x14ac:dyDescent="0.25">
      <c r="A20" s="29">
        <v>2013</v>
      </c>
      <c r="D20" s="30">
        <v>39.28</v>
      </c>
      <c r="E20" s="12">
        <f t="shared" ref="E20:E25" si="4">D20</f>
        <v>39.28</v>
      </c>
      <c r="F20" s="24">
        <v>37803</v>
      </c>
      <c r="G20" s="23">
        <v>42.5</v>
      </c>
      <c r="L20" s="8">
        <v>2013</v>
      </c>
      <c r="M20" s="8">
        <v>59.742000579833999</v>
      </c>
      <c r="N20" s="29">
        <f t="shared" si="1"/>
        <v>0.59742000579833998</v>
      </c>
      <c r="O20" s="17">
        <f t="shared" si="2"/>
        <v>0.20878028941473792</v>
      </c>
    </row>
    <row r="21" spans="1:15" x14ac:dyDescent="0.25">
      <c r="A21" s="29">
        <v>2014</v>
      </c>
      <c r="D21" s="30">
        <v>39.19</v>
      </c>
      <c r="E21" s="12">
        <f t="shared" si="4"/>
        <v>39.19</v>
      </c>
      <c r="F21" s="24">
        <v>37834</v>
      </c>
      <c r="G21" s="23">
        <v>42.5</v>
      </c>
      <c r="L21" s="8">
        <v>2014</v>
      </c>
      <c r="M21" s="8">
        <v>59.683998107910199</v>
      </c>
      <c r="N21" s="29">
        <f t="shared" si="1"/>
        <v>0.59683998107910197</v>
      </c>
      <c r="O21" s="17">
        <f t="shared" si="2"/>
        <v>0.20857758825378767</v>
      </c>
    </row>
    <row r="22" spans="1:15" x14ac:dyDescent="0.25">
      <c r="A22" s="29">
        <v>2015</v>
      </c>
      <c r="D22" s="30">
        <v>38.869999999999997</v>
      </c>
      <c r="E22" s="12">
        <f t="shared" si="4"/>
        <v>38.869999999999997</v>
      </c>
      <c r="F22" s="24">
        <v>37865</v>
      </c>
      <c r="G22" s="23">
        <v>42.3</v>
      </c>
      <c r="L22" s="8">
        <v>2015</v>
      </c>
      <c r="M22" s="8">
        <v>58.691001892089801</v>
      </c>
      <c r="N22" s="29">
        <f t="shared" si="1"/>
        <v>0.586910018920898</v>
      </c>
      <c r="O22" s="17">
        <f t="shared" si="2"/>
        <v>0.20510736570826579</v>
      </c>
    </row>
    <row r="23" spans="1:15" x14ac:dyDescent="0.25">
      <c r="A23" s="29">
        <v>2016</v>
      </c>
      <c r="D23" s="30">
        <v>38.81</v>
      </c>
      <c r="E23" s="12">
        <f t="shared" si="4"/>
        <v>38.81</v>
      </c>
      <c r="F23" s="24">
        <v>37895</v>
      </c>
      <c r="G23" s="23">
        <v>42.4</v>
      </c>
      <c r="L23" s="8">
        <v>2016</v>
      </c>
      <c r="M23" s="8">
        <v>56.423999786377003</v>
      </c>
      <c r="N23" s="29">
        <f t="shared" si="1"/>
        <v>0.56423999786376999</v>
      </c>
      <c r="O23" s="17">
        <f t="shared" si="2"/>
        <v>0.1971848764855948</v>
      </c>
    </row>
    <row r="24" spans="1:15" x14ac:dyDescent="0.25">
      <c r="A24" s="29">
        <v>2017</v>
      </c>
      <c r="D24" s="30">
        <v>38.42</v>
      </c>
      <c r="E24" s="12">
        <f t="shared" si="4"/>
        <v>38.42</v>
      </c>
      <c r="F24" s="24">
        <v>37926</v>
      </c>
      <c r="G24" s="23">
        <v>42.5</v>
      </c>
      <c r="L24" s="8">
        <v>2017</v>
      </c>
      <c r="M24" s="8">
        <v>55.877998352050803</v>
      </c>
      <c r="N24" s="29">
        <f t="shared" si="1"/>
        <v>0.55877998352050806</v>
      </c>
      <c r="O24" s="17">
        <f t="shared" si="2"/>
        <v>0.19527676600430696</v>
      </c>
    </row>
    <row r="25" spans="1:15" x14ac:dyDescent="0.25">
      <c r="A25" s="29">
        <v>2018</v>
      </c>
      <c r="D25" s="30">
        <v>38.21</v>
      </c>
      <c r="E25" s="12">
        <f t="shared" si="4"/>
        <v>38.21</v>
      </c>
      <c r="F25" s="24">
        <v>37956</v>
      </c>
      <c r="G25" s="23">
        <v>42.7</v>
      </c>
      <c r="L25" s="8">
        <v>2018</v>
      </c>
      <c r="M25" s="8">
        <v>55.923999786377003</v>
      </c>
      <c r="N25" s="29">
        <f t="shared" si="1"/>
        <v>0.55923999786376999</v>
      </c>
      <c r="O25" s="17">
        <f t="shared" si="2"/>
        <v>0.19543752715523766</v>
      </c>
    </row>
    <row r="26" spans="1:15" x14ac:dyDescent="0.25">
      <c r="F26" s="24">
        <v>37987</v>
      </c>
      <c r="G26" s="23">
        <v>42.6</v>
      </c>
    </row>
    <row r="27" spans="1:15" x14ac:dyDescent="0.25">
      <c r="F27" s="24">
        <v>38018</v>
      </c>
      <c r="G27" s="23">
        <v>42.5</v>
      </c>
    </row>
    <row r="28" spans="1:15" x14ac:dyDescent="0.25">
      <c r="F28" s="24">
        <v>38047</v>
      </c>
      <c r="G28" s="23">
        <v>42.5</v>
      </c>
    </row>
    <row r="29" spans="1:15" x14ac:dyDescent="0.25">
      <c r="F29" s="24">
        <v>38078</v>
      </c>
      <c r="G29" s="23">
        <v>42.4</v>
      </c>
    </row>
    <row r="30" spans="1:15" x14ac:dyDescent="0.25">
      <c r="F30" s="24">
        <v>38108</v>
      </c>
      <c r="G30" s="23">
        <v>42.3</v>
      </c>
    </row>
    <row r="31" spans="1:15" x14ac:dyDescent="0.25">
      <c r="F31" s="24">
        <v>38139</v>
      </c>
      <c r="G31" s="23">
        <v>42.3</v>
      </c>
    </row>
    <row r="32" spans="1:15" x14ac:dyDescent="0.25">
      <c r="F32" s="24">
        <v>38169</v>
      </c>
      <c r="G32" s="23">
        <v>42.5</v>
      </c>
    </row>
    <row r="33" spans="6:7" x14ac:dyDescent="0.25">
      <c r="F33" s="24">
        <v>38200</v>
      </c>
      <c r="G33" s="23">
        <v>42.4</v>
      </c>
    </row>
    <row r="34" spans="6:7" x14ac:dyDescent="0.25">
      <c r="F34" s="24">
        <v>38231</v>
      </c>
      <c r="G34" s="23">
        <v>42.3</v>
      </c>
    </row>
    <row r="35" spans="6:7" x14ac:dyDescent="0.25">
      <c r="F35" s="24">
        <v>38261</v>
      </c>
      <c r="G35" s="23">
        <v>42.3</v>
      </c>
    </row>
    <row r="36" spans="6:7" x14ac:dyDescent="0.25">
      <c r="F36" s="24">
        <v>38292</v>
      </c>
      <c r="G36" s="23">
        <v>42.4</v>
      </c>
    </row>
    <row r="37" spans="6:7" x14ac:dyDescent="0.25">
      <c r="F37" s="24">
        <v>38322</v>
      </c>
      <c r="G37" s="23">
        <v>42.4</v>
      </c>
    </row>
    <row r="38" spans="6:7" x14ac:dyDescent="0.25">
      <c r="F38" s="24">
        <v>38353</v>
      </c>
      <c r="G38" s="23">
        <v>42.4</v>
      </c>
    </row>
    <row r="39" spans="6:7" x14ac:dyDescent="0.25">
      <c r="F39" s="24">
        <v>38384</v>
      </c>
      <c r="G39" s="23">
        <v>42.4</v>
      </c>
    </row>
    <row r="40" spans="6:7" x14ac:dyDescent="0.25">
      <c r="F40" s="24">
        <v>38412</v>
      </c>
      <c r="G40" s="23">
        <v>42.5</v>
      </c>
    </row>
    <row r="41" spans="6:7" x14ac:dyDescent="0.25">
      <c r="F41" s="24">
        <v>38443</v>
      </c>
      <c r="G41" s="23">
        <v>42.4</v>
      </c>
    </row>
    <row r="42" spans="6:7" x14ac:dyDescent="0.25">
      <c r="F42" s="24">
        <v>38473</v>
      </c>
      <c r="G42" s="23">
        <v>42.4</v>
      </c>
    </row>
    <row r="43" spans="6:7" x14ac:dyDescent="0.25">
      <c r="F43" s="24">
        <v>38504</v>
      </c>
      <c r="G43" s="23">
        <v>42.3</v>
      </c>
    </row>
    <row r="44" spans="6:7" x14ac:dyDescent="0.25">
      <c r="F44" s="24">
        <v>38534</v>
      </c>
      <c r="G44" s="23">
        <v>42.2</v>
      </c>
    </row>
    <row r="45" spans="6:7" x14ac:dyDescent="0.25">
      <c r="F45" s="24">
        <v>38565</v>
      </c>
      <c r="G45" s="23">
        <v>42.2</v>
      </c>
    </row>
    <row r="46" spans="6:7" x14ac:dyDescent="0.25">
      <c r="F46" s="24">
        <v>38596</v>
      </c>
      <c r="G46" s="23">
        <v>42.2</v>
      </c>
    </row>
    <row r="47" spans="6:7" x14ac:dyDescent="0.25">
      <c r="F47" s="24">
        <v>38626</v>
      </c>
      <c r="G47" s="23">
        <v>42.3</v>
      </c>
    </row>
    <row r="48" spans="6:7" x14ac:dyDescent="0.25">
      <c r="F48" s="24">
        <v>38657</v>
      </c>
      <c r="G48" s="23">
        <v>42.4</v>
      </c>
    </row>
    <row r="49" spans="6:7" x14ac:dyDescent="0.25">
      <c r="F49" s="24">
        <v>38687</v>
      </c>
      <c r="G49" s="23">
        <v>42.5</v>
      </c>
    </row>
    <row r="50" spans="6:7" x14ac:dyDescent="0.25">
      <c r="F50" s="24">
        <v>38718</v>
      </c>
      <c r="G50" s="23">
        <v>42.4</v>
      </c>
    </row>
    <row r="51" spans="6:7" x14ac:dyDescent="0.25">
      <c r="F51" s="24">
        <v>38749</v>
      </c>
      <c r="G51" s="23">
        <v>42.4</v>
      </c>
    </row>
    <row r="52" spans="6:7" x14ac:dyDescent="0.25">
      <c r="F52" s="24">
        <v>38777</v>
      </c>
      <c r="G52" s="23">
        <v>42.3</v>
      </c>
    </row>
    <row r="53" spans="6:7" x14ac:dyDescent="0.25">
      <c r="F53" s="24">
        <v>38808</v>
      </c>
      <c r="G53" s="23">
        <v>42.3</v>
      </c>
    </row>
    <row r="54" spans="6:7" x14ac:dyDescent="0.25">
      <c r="F54" s="24">
        <v>38838</v>
      </c>
      <c r="G54" s="23">
        <v>42.3</v>
      </c>
    </row>
    <row r="55" spans="6:7" x14ac:dyDescent="0.25">
      <c r="F55" s="24">
        <v>38869</v>
      </c>
      <c r="G55" s="23">
        <v>42.1</v>
      </c>
    </row>
    <row r="56" spans="6:7" x14ac:dyDescent="0.25">
      <c r="F56" s="24">
        <v>38899</v>
      </c>
      <c r="G56" s="23">
        <v>42.2</v>
      </c>
    </row>
    <row r="57" spans="6:7" x14ac:dyDescent="0.25">
      <c r="F57" s="24">
        <v>38930</v>
      </c>
      <c r="G57" s="23">
        <v>42.1</v>
      </c>
    </row>
    <row r="58" spans="6:7" x14ac:dyDescent="0.25">
      <c r="F58" s="24">
        <v>38961</v>
      </c>
      <c r="G58" s="23">
        <v>42.1</v>
      </c>
    </row>
    <row r="59" spans="6:7" x14ac:dyDescent="0.25">
      <c r="F59" s="24">
        <v>38991</v>
      </c>
      <c r="G59" s="23">
        <v>42.2</v>
      </c>
    </row>
    <row r="60" spans="6:7" x14ac:dyDescent="0.25">
      <c r="F60" s="24">
        <v>39022</v>
      </c>
      <c r="G60" s="23">
        <v>42.3</v>
      </c>
    </row>
    <row r="61" spans="6:7" x14ac:dyDescent="0.25">
      <c r="F61" s="24">
        <v>39052</v>
      </c>
      <c r="G61" s="23">
        <v>42.2</v>
      </c>
    </row>
    <row r="62" spans="6:7" x14ac:dyDescent="0.25">
      <c r="F62" s="24">
        <v>39083</v>
      </c>
      <c r="G62" s="23">
        <v>42.3</v>
      </c>
    </row>
    <row r="63" spans="6:7" x14ac:dyDescent="0.25">
      <c r="F63" s="24">
        <v>39114</v>
      </c>
      <c r="G63" s="23">
        <v>42.2</v>
      </c>
    </row>
    <row r="64" spans="6:7" x14ac:dyDescent="0.25">
      <c r="F64" s="24">
        <v>39142</v>
      </c>
      <c r="G64" s="23">
        <v>42.2</v>
      </c>
    </row>
    <row r="65" spans="6:7" x14ac:dyDescent="0.25">
      <c r="F65" s="24">
        <v>39173</v>
      </c>
      <c r="G65" s="23">
        <v>42.2</v>
      </c>
    </row>
    <row r="66" spans="6:7" x14ac:dyDescent="0.25">
      <c r="F66" s="24">
        <v>39203</v>
      </c>
      <c r="G66" s="23">
        <v>42</v>
      </c>
    </row>
    <row r="67" spans="6:7" x14ac:dyDescent="0.25">
      <c r="F67" s="24">
        <v>39234</v>
      </c>
      <c r="G67" s="23">
        <v>42</v>
      </c>
    </row>
    <row r="68" spans="6:7" x14ac:dyDescent="0.25">
      <c r="F68" s="24">
        <v>39264</v>
      </c>
      <c r="G68" s="23">
        <v>42</v>
      </c>
    </row>
    <row r="69" spans="6:7" x14ac:dyDescent="0.25">
      <c r="F69" s="24">
        <v>39295</v>
      </c>
      <c r="G69" s="23">
        <v>41.9</v>
      </c>
    </row>
    <row r="70" spans="6:7" x14ac:dyDescent="0.25">
      <c r="F70" s="24">
        <v>39326</v>
      </c>
      <c r="G70" s="23">
        <v>42</v>
      </c>
    </row>
    <row r="71" spans="6:7" x14ac:dyDescent="0.25">
      <c r="F71" s="24">
        <v>39356</v>
      </c>
      <c r="G71" s="23">
        <v>42.1</v>
      </c>
    </row>
    <row r="72" spans="6:7" x14ac:dyDescent="0.25">
      <c r="F72" s="24">
        <v>39387</v>
      </c>
      <c r="G72" s="23">
        <v>42.1</v>
      </c>
    </row>
    <row r="73" spans="6:7" x14ac:dyDescent="0.25">
      <c r="F73" s="24">
        <v>39417</v>
      </c>
      <c r="G73" s="23">
        <v>42.3</v>
      </c>
    </row>
    <row r="74" spans="6:7" x14ac:dyDescent="0.25">
      <c r="F74" s="24">
        <v>39448</v>
      </c>
      <c r="G74" s="23">
        <v>42.1</v>
      </c>
    </row>
    <row r="75" spans="6:7" x14ac:dyDescent="0.25">
      <c r="F75" s="24">
        <v>39479</v>
      </c>
      <c r="G75" s="23">
        <v>42</v>
      </c>
    </row>
    <row r="76" spans="6:7" x14ac:dyDescent="0.25">
      <c r="F76" s="24">
        <v>39508</v>
      </c>
      <c r="G76" s="23">
        <v>42</v>
      </c>
    </row>
    <row r="77" spans="6:7" x14ac:dyDescent="0.25">
      <c r="F77" s="24">
        <v>39539</v>
      </c>
      <c r="G77" s="23">
        <v>42</v>
      </c>
    </row>
    <row r="78" spans="6:7" x14ac:dyDescent="0.25">
      <c r="F78" s="24">
        <v>39569</v>
      </c>
      <c r="G78" s="23">
        <v>42.1</v>
      </c>
    </row>
    <row r="79" spans="6:7" x14ac:dyDescent="0.25">
      <c r="F79" s="24">
        <v>39600</v>
      </c>
      <c r="G79" s="23">
        <v>42</v>
      </c>
    </row>
    <row r="80" spans="6:7" x14ac:dyDescent="0.25">
      <c r="F80" s="24">
        <v>39630</v>
      </c>
      <c r="G80" s="23">
        <v>42.1</v>
      </c>
    </row>
    <row r="81" spans="6:7" x14ac:dyDescent="0.25">
      <c r="F81" s="24">
        <v>39661</v>
      </c>
      <c r="G81" s="23">
        <v>42</v>
      </c>
    </row>
    <row r="82" spans="6:7" x14ac:dyDescent="0.25">
      <c r="F82" s="24">
        <v>39692</v>
      </c>
      <c r="G82" s="23">
        <v>42</v>
      </c>
    </row>
    <row r="83" spans="6:7" x14ac:dyDescent="0.25">
      <c r="F83" s="24">
        <v>39722</v>
      </c>
      <c r="G83" s="23">
        <v>42</v>
      </c>
    </row>
    <row r="84" spans="6:7" x14ac:dyDescent="0.25">
      <c r="F84" s="24">
        <v>39753</v>
      </c>
      <c r="G84" s="23">
        <v>42.1</v>
      </c>
    </row>
    <row r="85" spans="6:7" x14ac:dyDescent="0.25">
      <c r="F85" s="24">
        <v>39783</v>
      </c>
      <c r="G85" s="23">
        <v>42.2</v>
      </c>
    </row>
    <row r="86" spans="6:7" x14ac:dyDescent="0.25">
      <c r="F86" s="24">
        <v>39814</v>
      </c>
      <c r="G86" s="23">
        <v>42.1</v>
      </c>
    </row>
    <row r="87" spans="6:7" x14ac:dyDescent="0.25">
      <c r="F87" s="24">
        <v>39845</v>
      </c>
      <c r="G87" s="23">
        <v>42</v>
      </c>
    </row>
    <row r="88" spans="6:7" x14ac:dyDescent="0.25">
      <c r="F88" s="24">
        <v>39873</v>
      </c>
      <c r="G88" s="23">
        <v>41.9</v>
      </c>
    </row>
    <row r="89" spans="6:7" x14ac:dyDescent="0.25">
      <c r="F89" s="24">
        <v>39904</v>
      </c>
      <c r="G89" s="23">
        <v>41.9</v>
      </c>
    </row>
    <row r="90" spans="6:7" x14ac:dyDescent="0.25">
      <c r="F90" s="24">
        <v>39934</v>
      </c>
      <c r="G90" s="23">
        <v>41.8</v>
      </c>
    </row>
    <row r="91" spans="6:7" x14ac:dyDescent="0.25">
      <c r="F91" s="24">
        <v>39965</v>
      </c>
      <c r="G91" s="23">
        <v>41.9</v>
      </c>
    </row>
    <row r="92" spans="6:7" x14ac:dyDescent="0.25">
      <c r="F92" s="24">
        <v>39995</v>
      </c>
      <c r="G92" s="23">
        <v>41.9</v>
      </c>
    </row>
    <row r="93" spans="6:7" x14ac:dyDescent="0.25">
      <c r="F93" s="24">
        <v>40026</v>
      </c>
      <c r="G93" s="23">
        <v>41.8</v>
      </c>
    </row>
    <row r="94" spans="6:7" x14ac:dyDescent="0.25">
      <c r="F94" s="24">
        <v>40057</v>
      </c>
      <c r="G94" s="23">
        <v>41.8</v>
      </c>
    </row>
    <row r="95" spans="6:7" x14ac:dyDescent="0.25">
      <c r="F95" s="24">
        <v>40087</v>
      </c>
      <c r="G95" s="23">
        <v>41.9</v>
      </c>
    </row>
    <row r="96" spans="6:7" x14ac:dyDescent="0.25">
      <c r="F96" s="24">
        <v>40118</v>
      </c>
      <c r="G96" s="23">
        <v>41.8</v>
      </c>
    </row>
    <row r="97" spans="6:7" x14ac:dyDescent="0.25">
      <c r="F97" s="24">
        <v>40148</v>
      </c>
      <c r="G97" s="23">
        <v>41.9</v>
      </c>
    </row>
    <row r="98" spans="6:7" x14ac:dyDescent="0.25">
      <c r="F98" s="24">
        <v>40179</v>
      </c>
      <c r="G98" s="23">
        <v>41.9</v>
      </c>
    </row>
    <row r="99" spans="6:7" x14ac:dyDescent="0.25">
      <c r="F99" s="24">
        <v>40210</v>
      </c>
      <c r="G99" s="23">
        <v>41.8</v>
      </c>
    </row>
    <row r="100" spans="6:7" x14ac:dyDescent="0.25">
      <c r="F100" s="24">
        <v>40238</v>
      </c>
      <c r="G100" s="23">
        <v>41.7</v>
      </c>
    </row>
    <row r="101" spans="6:7" x14ac:dyDescent="0.25">
      <c r="F101" s="24">
        <v>40269</v>
      </c>
      <c r="G101" s="23">
        <v>41.7</v>
      </c>
    </row>
    <row r="102" spans="6:7" x14ac:dyDescent="0.25">
      <c r="F102" s="24">
        <v>40299</v>
      </c>
      <c r="G102" s="23">
        <v>41.7</v>
      </c>
    </row>
    <row r="103" spans="6:7" x14ac:dyDescent="0.25">
      <c r="F103" s="24">
        <v>40330</v>
      </c>
      <c r="G103" s="23">
        <v>41.6</v>
      </c>
    </row>
    <row r="104" spans="6:7" x14ac:dyDescent="0.25">
      <c r="F104" s="24">
        <v>40360</v>
      </c>
      <c r="G104" s="23">
        <v>41.7</v>
      </c>
    </row>
    <row r="105" spans="6:7" x14ac:dyDescent="0.25">
      <c r="F105" s="24">
        <v>40391</v>
      </c>
      <c r="G105" s="23">
        <v>41.7</v>
      </c>
    </row>
    <row r="106" spans="6:7" x14ac:dyDescent="0.25">
      <c r="F106" s="24">
        <v>40422</v>
      </c>
      <c r="G106" s="23">
        <v>41.9</v>
      </c>
    </row>
    <row r="107" spans="6:7" x14ac:dyDescent="0.25">
      <c r="F107" s="24">
        <v>40452</v>
      </c>
      <c r="G107" s="23">
        <v>41.9</v>
      </c>
    </row>
    <row r="108" spans="6:7" x14ac:dyDescent="0.25">
      <c r="F108" s="24">
        <v>40483</v>
      </c>
      <c r="G108" s="23">
        <v>41.9</v>
      </c>
    </row>
    <row r="109" spans="6:7" x14ac:dyDescent="0.25">
      <c r="F109" s="24">
        <v>40513</v>
      </c>
      <c r="G109" s="23">
        <v>42.1</v>
      </c>
    </row>
    <row r="110" spans="6:7" x14ac:dyDescent="0.25">
      <c r="F110" s="24">
        <v>40544</v>
      </c>
      <c r="G110" s="23">
        <v>41.9</v>
      </c>
    </row>
    <row r="111" spans="6:7" x14ac:dyDescent="0.25">
      <c r="F111" s="24">
        <v>40575</v>
      </c>
      <c r="G111" s="23">
        <v>42.1</v>
      </c>
    </row>
    <row r="112" spans="6:7" x14ac:dyDescent="0.25">
      <c r="F112" s="24">
        <v>40603</v>
      </c>
      <c r="G112" s="23">
        <v>42.1</v>
      </c>
    </row>
    <row r="113" spans="6:7" x14ac:dyDescent="0.25">
      <c r="F113" s="24">
        <v>40634</v>
      </c>
      <c r="G113" s="23">
        <v>41.9</v>
      </c>
    </row>
    <row r="114" spans="6:7" x14ac:dyDescent="0.25">
      <c r="F114" s="24">
        <v>40664</v>
      </c>
      <c r="G114" s="23">
        <v>42</v>
      </c>
    </row>
    <row r="115" spans="6:7" x14ac:dyDescent="0.25">
      <c r="F115" s="24">
        <v>40695</v>
      </c>
      <c r="G115" s="23">
        <v>42.1</v>
      </c>
    </row>
    <row r="116" spans="6:7" x14ac:dyDescent="0.25">
      <c r="F116" s="24">
        <v>40725</v>
      </c>
      <c r="G116" s="23">
        <v>42</v>
      </c>
    </row>
    <row r="117" spans="6:7" x14ac:dyDescent="0.25">
      <c r="F117" s="24">
        <v>40756</v>
      </c>
      <c r="G117" s="23">
        <v>42.1</v>
      </c>
    </row>
    <row r="118" spans="6:7" x14ac:dyDescent="0.25">
      <c r="F118" s="24">
        <v>40787</v>
      </c>
      <c r="G118" s="23">
        <v>42</v>
      </c>
    </row>
    <row r="119" spans="6:7" x14ac:dyDescent="0.25">
      <c r="F119" s="24">
        <v>40817</v>
      </c>
      <c r="G119" s="23">
        <v>42</v>
      </c>
    </row>
    <row r="120" spans="6:7" x14ac:dyDescent="0.25">
      <c r="F120" s="24">
        <v>40848</v>
      </c>
      <c r="G120" s="23">
        <v>42.1</v>
      </c>
    </row>
    <row r="121" spans="6:7" x14ac:dyDescent="0.25">
      <c r="F121" s="24">
        <v>40878</v>
      </c>
      <c r="G121" s="23">
        <v>42.1</v>
      </c>
    </row>
    <row r="122" spans="6:7" x14ac:dyDescent="0.25">
      <c r="F122" s="24">
        <v>40909</v>
      </c>
      <c r="G122" s="23">
        <v>42.1</v>
      </c>
    </row>
    <row r="123" spans="6:7" x14ac:dyDescent="0.25">
      <c r="F123" s="24">
        <v>40940</v>
      </c>
      <c r="G123" s="23">
        <v>42</v>
      </c>
    </row>
    <row r="124" spans="6:7" x14ac:dyDescent="0.25">
      <c r="F124" s="24">
        <v>40969</v>
      </c>
      <c r="G124" s="23">
        <v>42</v>
      </c>
    </row>
    <row r="125" spans="6:7" x14ac:dyDescent="0.25">
      <c r="F125" s="24">
        <v>41000</v>
      </c>
      <c r="G125" s="23">
        <v>42</v>
      </c>
    </row>
    <row r="126" spans="6:7" x14ac:dyDescent="0.25">
      <c r="F126" s="24">
        <v>41030</v>
      </c>
      <c r="G126" s="23">
        <v>42</v>
      </c>
    </row>
    <row r="127" spans="6:7" x14ac:dyDescent="0.25">
      <c r="F127" s="24">
        <v>41061</v>
      </c>
      <c r="G127" s="23">
        <v>41.9</v>
      </c>
    </row>
    <row r="128" spans="6:7" x14ac:dyDescent="0.25">
      <c r="F128" s="24">
        <v>41091</v>
      </c>
      <c r="G128" s="23">
        <v>41.9</v>
      </c>
    </row>
    <row r="129" spans="6:7" x14ac:dyDescent="0.25">
      <c r="F129" s="24">
        <v>41122</v>
      </c>
      <c r="G129" s="23">
        <v>41.8</v>
      </c>
    </row>
    <row r="130" spans="6:7" x14ac:dyDescent="0.25">
      <c r="F130" s="24">
        <v>41153</v>
      </c>
      <c r="G130" s="23">
        <v>41.8</v>
      </c>
    </row>
    <row r="131" spans="6:7" x14ac:dyDescent="0.25">
      <c r="F131" s="24">
        <v>41183</v>
      </c>
      <c r="G131" s="23">
        <v>41.8</v>
      </c>
    </row>
    <row r="132" spans="6:7" x14ac:dyDescent="0.25">
      <c r="F132" s="24">
        <v>41214</v>
      </c>
      <c r="G132" s="23">
        <v>41.8</v>
      </c>
    </row>
    <row r="133" spans="6:7" x14ac:dyDescent="0.25">
      <c r="F133" s="24">
        <v>41244</v>
      </c>
      <c r="G133" s="23">
        <v>41.7</v>
      </c>
    </row>
    <row r="134" spans="6:7" x14ac:dyDescent="0.25">
      <c r="F134" s="24">
        <v>41275</v>
      </c>
      <c r="G134" s="23">
        <v>41.6</v>
      </c>
    </row>
    <row r="135" spans="6:7" x14ac:dyDescent="0.25">
      <c r="F135" s="24">
        <v>41306</v>
      </c>
      <c r="G135" s="23">
        <v>41.6</v>
      </c>
    </row>
    <row r="136" spans="6:7" x14ac:dyDescent="0.25">
      <c r="F136" s="24">
        <v>41334</v>
      </c>
      <c r="G136" s="23">
        <v>41.6</v>
      </c>
    </row>
    <row r="137" spans="6:7" x14ac:dyDescent="0.25">
      <c r="F137" s="24">
        <v>41365</v>
      </c>
      <c r="G137" s="23">
        <v>41.6</v>
      </c>
    </row>
    <row r="138" spans="6:7" x14ac:dyDescent="0.25">
      <c r="F138" s="24">
        <v>41395</v>
      </c>
      <c r="G138" s="23">
        <v>41.6</v>
      </c>
    </row>
    <row r="139" spans="6:7" x14ac:dyDescent="0.25">
      <c r="F139" s="24">
        <v>41426</v>
      </c>
      <c r="G139" s="23">
        <v>41.5</v>
      </c>
    </row>
    <row r="140" spans="6:7" x14ac:dyDescent="0.25">
      <c r="F140" s="24">
        <v>41456</v>
      </c>
      <c r="G140" s="23">
        <v>41.5</v>
      </c>
    </row>
    <row r="141" spans="6:7" x14ac:dyDescent="0.25">
      <c r="F141" s="24">
        <v>41487</v>
      </c>
      <c r="G141" s="23">
        <v>41.6</v>
      </c>
    </row>
    <row r="142" spans="6:7" x14ac:dyDescent="0.25">
      <c r="F142" s="24">
        <v>41518</v>
      </c>
      <c r="G142" s="23">
        <v>41.6</v>
      </c>
    </row>
    <row r="143" spans="6:7" x14ac:dyDescent="0.25">
      <c r="F143" s="24">
        <v>41548</v>
      </c>
      <c r="G143" s="23">
        <v>41.6</v>
      </c>
    </row>
    <row r="144" spans="6:7" x14ac:dyDescent="0.25">
      <c r="F144" s="24">
        <v>41579</v>
      </c>
      <c r="G144" s="23">
        <v>41.7</v>
      </c>
    </row>
    <row r="145" spans="6:7" x14ac:dyDescent="0.25">
      <c r="F145" s="24">
        <v>41609</v>
      </c>
      <c r="G145" s="23">
        <v>41.7</v>
      </c>
    </row>
    <row r="146" spans="6:7" x14ac:dyDescent="0.25">
      <c r="F146" s="24">
        <v>41640</v>
      </c>
      <c r="G146" s="23">
        <v>41.6</v>
      </c>
    </row>
    <row r="147" spans="6:7" x14ac:dyDescent="0.25">
      <c r="F147" s="24">
        <v>41671</v>
      </c>
      <c r="G147" s="23">
        <v>41.8</v>
      </c>
    </row>
    <row r="148" spans="6:7" x14ac:dyDescent="0.25">
      <c r="F148" s="24">
        <v>41699</v>
      </c>
      <c r="G148" s="23">
        <v>41.7</v>
      </c>
    </row>
    <row r="149" spans="6:7" x14ac:dyDescent="0.25">
      <c r="F149" s="24">
        <v>41730</v>
      </c>
      <c r="G149" s="23">
        <v>41.7</v>
      </c>
    </row>
    <row r="150" spans="6:7" x14ac:dyDescent="0.25">
      <c r="F150" s="24">
        <v>41760</v>
      </c>
      <c r="G150" s="23">
        <v>41.6</v>
      </c>
    </row>
    <row r="151" spans="6:7" x14ac:dyDescent="0.25">
      <c r="F151" s="24">
        <v>41791</v>
      </c>
      <c r="G151" s="23">
        <v>41.5</v>
      </c>
    </row>
    <row r="152" spans="6:7" x14ac:dyDescent="0.25">
      <c r="F152" s="24">
        <v>41821</v>
      </c>
      <c r="G152" s="23">
        <v>41.5</v>
      </c>
    </row>
    <row r="153" spans="6:7" x14ac:dyDescent="0.25">
      <c r="F153" s="24">
        <v>41852</v>
      </c>
      <c r="G153" s="23">
        <v>41.5</v>
      </c>
    </row>
    <row r="154" spans="6:7" x14ac:dyDescent="0.25">
      <c r="F154" s="24">
        <v>41883</v>
      </c>
      <c r="G154" s="23">
        <v>41.4</v>
      </c>
    </row>
    <row r="155" spans="6:7" x14ac:dyDescent="0.25">
      <c r="F155" s="24">
        <v>41913</v>
      </c>
      <c r="G155" s="23">
        <v>41.4</v>
      </c>
    </row>
    <row r="156" spans="6:7" x14ac:dyDescent="0.25">
      <c r="F156" s="24">
        <v>41944</v>
      </c>
      <c r="G156" s="23">
        <v>41.5</v>
      </c>
    </row>
    <row r="157" spans="6:7" x14ac:dyDescent="0.25">
      <c r="F157" s="24">
        <v>41974</v>
      </c>
      <c r="G157" s="23">
        <v>41.5</v>
      </c>
    </row>
    <row r="158" spans="6:7" x14ac:dyDescent="0.25">
      <c r="F158" s="24">
        <v>42005</v>
      </c>
      <c r="G158" s="23">
        <v>41.5</v>
      </c>
    </row>
    <row r="159" spans="6:7" x14ac:dyDescent="0.25">
      <c r="F159" s="24">
        <v>42036</v>
      </c>
      <c r="G159" s="23">
        <v>41.4</v>
      </c>
    </row>
    <row r="160" spans="6:7" x14ac:dyDescent="0.25">
      <c r="F160" s="24">
        <v>42064</v>
      </c>
      <c r="G160" s="23">
        <v>41.4</v>
      </c>
    </row>
    <row r="161" spans="6:7" x14ac:dyDescent="0.25">
      <c r="F161" s="24">
        <v>42095</v>
      </c>
      <c r="G161" s="23">
        <v>41.3</v>
      </c>
    </row>
    <row r="162" spans="6:7" x14ac:dyDescent="0.25">
      <c r="F162" s="24">
        <v>42125</v>
      </c>
      <c r="G162" s="23">
        <v>41.4</v>
      </c>
    </row>
    <row r="163" spans="6:7" x14ac:dyDescent="0.25">
      <c r="F163" s="24">
        <v>42156</v>
      </c>
      <c r="G163" s="23">
        <v>41.3</v>
      </c>
    </row>
    <row r="164" spans="6:7" x14ac:dyDescent="0.25">
      <c r="F164" s="24">
        <v>42186</v>
      </c>
      <c r="G164" s="23">
        <v>41.3</v>
      </c>
    </row>
    <row r="165" spans="6:7" x14ac:dyDescent="0.25">
      <c r="F165" s="24">
        <v>42217</v>
      </c>
      <c r="G165" s="23">
        <v>41.1</v>
      </c>
    </row>
    <row r="166" spans="6:7" x14ac:dyDescent="0.25">
      <c r="F166" s="24">
        <v>42248</v>
      </c>
      <c r="G166" s="23">
        <v>41.2</v>
      </c>
    </row>
    <row r="167" spans="6:7" x14ac:dyDescent="0.25">
      <c r="F167" s="24">
        <v>42278</v>
      </c>
      <c r="G167" s="23">
        <v>41.2</v>
      </c>
    </row>
    <row r="168" spans="6:7" x14ac:dyDescent="0.25">
      <c r="F168" s="24">
        <v>42309</v>
      </c>
      <c r="G168" s="23">
        <v>41.3</v>
      </c>
    </row>
    <row r="169" spans="6:7" x14ac:dyDescent="0.25">
      <c r="F169" s="24">
        <v>42339</v>
      </c>
      <c r="G169" s="23">
        <v>41.3</v>
      </c>
    </row>
    <row r="170" spans="6:7" x14ac:dyDescent="0.25">
      <c r="F170" s="24">
        <v>42370</v>
      </c>
      <c r="G170" s="23">
        <v>41.3</v>
      </c>
    </row>
    <row r="171" spans="6:7" x14ac:dyDescent="0.25">
      <c r="F171" s="24">
        <v>42401</v>
      </c>
      <c r="G171" s="23">
        <v>41.3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5085-88DC-4F08-A2C5-D033B43E8F1C}">
  <dimension ref="B2:I7"/>
  <sheetViews>
    <sheetView topLeftCell="B1" workbookViewId="0">
      <selection activeCell="B2" sqref="B2:H7"/>
    </sheetView>
  </sheetViews>
  <sheetFormatPr defaultRowHeight="15" x14ac:dyDescent="0.25"/>
  <cols>
    <col min="2" max="2" width="8.28515625" bestFit="1" customWidth="1"/>
    <col min="3" max="3" width="13" bestFit="1" customWidth="1"/>
  </cols>
  <sheetData>
    <row r="2" spans="2:9" x14ac:dyDescent="0.25">
      <c r="D2" s="37" t="s">
        <v>54</v>
      </c>
      <c r="E2" s="37"/>
      <c r="F2" s="37"/>
      <c r="G2" s="37"/>
      <c r="H2" s="37"/>
    </row>
    <row r="3" spans="2:9" x14ac:dyDescent="0.25">
      <c r="B3" s="22" t="s">
        <v>55</v>
      </c>
      <c r="C3" s="22" t="s">
        <v>56</v>
      </c>
      <c r="D3" s="22">
        <v>2</v>
      </c>
      <c r="E3" s="22">
        <v>1</v>
      </c>
      <c r="F3" s="22">
        <v>0</v>
      </c>
      <c r="G3" s="22">
        <v>-1</v>
      </c>
      <c r="H3" s="22">
        <v>-2</v>
      </c>
    </row>
    <row r="4" spans="2:9" x14ac:dyDescent="0.25">
      <c r="B4" s="31" t="s">
        <v>57</v>
      </c>
      <c r="C4" s="32">
        <v>1.0099</v>
      </c>
      <c r="D4" s="32">
        <v>0.1968</v>
      </c>
      <c r="E4" s="32">
        <v>0.51900000000000002</v>
      </c>
      <c r="F4" s="32">
        <v>0.93010000000000004</v>
      </c>
      <c r="G4" s="32">
        <v>0.6603</v>
      </c>
      <c r="H4" s="32">
        <v>0.35970000000000002</v>
      </c>
      <c r="I4" s="29"/>
    </row>
    <row r="5" spans="2:9" x14ac:dyDescent="0.25">
      <c r="B5" s="17" t="s">
        <v>58</v>
      </c>
      <c r="C5" s="33">
        <v>0.71599999999999997</v>
      </c>
      <c r="D5" s="33">
        <v>0.46129999999999999</v>
      </c>
      <c r="E5" s="33">
        <v>0.55349999999999999</v>
      </c>
      <c r="F5" s="33">
        <v>0.20960000000000001</v>
      </c>
      <c r="G5" s="33">
        <v>0.33029999999999998</v>
      </c>
      <c r="H5" s="33">
        <v>0.33079999999999998</v>
      </c>
    </row>
    <row r="6" spans="2:9" x14ac:dyDescent="0.25">
      <c r="B6" s="17" t="s">
        <v>59</v>
      </c>
      <c r="C6" s="33">
        <v>1.4891000000000001</v>
      </c>
      <c r="D6" s="33">
        <v>0.70950000000000002</v>
      </c>
      <c r="E6" s="33">
        <v>0.77059999999999995</v>
      </c>
      <c r="F6" s="33">
        <v>0.40360000000000001</v>
      </c>
      <c r="G6" s="33">
        <v>-1.6400000000000001E-2</v>
      </c>
      <c r="H6" s="33">
        <v>-0.26640000000000003</v>
      </c>
    </row>
    <row r="7" spans="2:9" x14ac:dyDescent="0.25">
      <c r="B7" s="34" t="s">
        <v>60</v>
      </c>
      <c r="C7" s="35">
        <v>1.6199999999999999E-2</v>
      </c>
      <c r="D7" s="35">
        <v>-0.77949999999999997</v>
      </c>
      <c r="E7" s="35">
        <v>-0.68200000000000005</v>
      </c>
      <c r="F7" s="35">
        <v>-0.42920000000000003</v>
      </c>
      <c r="G7" s="35">
        <v>-0.2462</v>
      </c>
      <c r="H7" s="35">
        <v>8.4199999999999997E-2</v>
      </c>
    </row>
  </sheetData>
  <mergeCells count="1">
    <mergeCell ref="D2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552C-1D72-4DD2-A64A-9000F4E53921}">
  <dimension ref="A1:J27"/>
  <sheetViews>
    <sheetView tabSelected="1" workbookViewId="0">
      <selection activeCell="J17" sqref="J17"/>
    </sheetView>
  </sheetViews>
  <sheetFormatPr defaultRowHeight="15" x14ac:dyDescent="0.25"/>
  <cols>
    <col min="1" max="1" width="8.7109375" style="29"/>
    <col min="2" max="2" width="11.85546875" bestFit="1" customWidth="1"/>
    <col min="3" max="3" width="18" bestFit="1" customWidth="1"/>
    <col min="4" max="5" width="12" bestFit="1" customWidth="1"/>
  </cols>
  <sheetData>
    <row r="1" spans="1:10" x14ac:dyDescent="0.25">
      <c r="B1" s="29" t="s">
        <v>33</v>
      </c>
      <c r="C1" s="29"/>
      <c r="D1" s="29"/>
      <c r="E1" s="29"/>
      <c r="F1" s="29"/>
      <c r="G1" s="29"/>
      <c r="H1" s="29"/>
    </row>
    <row r="2" spans="1:10" x14ac:dyDescent="0.25">
      <c r="B2" s="29"/>
      <c r="C2" s="29"/>
      <c r="D2" s="29"/>
      <c r="E2" s="29"/>
      <c r="F2" s="29"/>
      <c r="G2" s="29"/>
      <c r="H2" s="29"/>
    </row>
    <row r="3" spans="1:10" x14ac:dyDescent="0.25">
      <c r="B3" s="29" t="s">
        <v>34</v>
      </c>
      <c r="C3" s="29" t="s">
        <v>35</v>
      </c>
      <c r="D3" s="29" t="s">
        <v>31</v>
      </c>
      <c r="E3" s="29" t="s">
        <v>36</v>
      </c>
      <c r="F3" s="29" t="s">
        <v>51</v>
      </c>
      <c r="G3" s="29"/>
      <c r="H3" s="29" t="s">
        <v>37</v>
      </c>
    </row>
    <row r="4" spans="1:10" x14ac:dyDescent="0.25">
      <c r="A4" s="29">
        <v>1995</v>
      </c>
      <c r="B4">
        <f>(SCN!B2/Labor!B2)*1000000</f>
        <v>23993.760935217408</v>
      </c>
      <c r="C4">
        <f>(SCN!D2/Labor!B2)*1000000</f>
        <v>19489.680488380189</v>
      </c>
      <c r="D4">
        <f>'Worked Hours'!O2</f>
        <v>0.20893405167652024</v>
      </c>
      <c r="E4">
        <f>(SCN!E2/Labor!B2)*1000000</f>
        <v>4585.0015973984382</v>
      </c>
      <c r="F4" s="29">
        <f>('Worked Hours'!L2/Labor!B2)*1000000</f>
        <v>19.665343174285066</v>
      </c>
      <c r="J4" s="29"/>
    </row>
    <row r="5" spans="1:10" x14ac:dyDescent="0.25">
      <c r="A5" s="29">
        <v>1996</v>
      </c>
      <c r="B5" s="29">
        <f>(SCN!B3/Labor!B3)*1000000</f>
        <v>23969.722049290896</v>
      </c>
      <c r="C5" s="29">
        <f>(SCN!D3/Labor!B3)*1000000</f>
        <v>19427.470918819065</v>
      </c>
      <c r="D5" s="29">
        <f>'Worked Hours'!O3</f>
        <v>0.20258768562759658</v>
      </c>
      <c r="E5" s="29">
        <f>(SCN!E3/Labor!B3)*1000000</f>
        <v>4534.9958259322884</v>
      </c>
      <c r="F5" s="29">
        <f>('Worked Hours'!L3/Labor!B3)*1000000</f>
        <v>19.230708087967582</v>
      </c>
      <c r="J5" s="38">
        <f>(B5-B4)/B5</f>
        <v>-1.0028854684705213E-3</v>
      </c>
    </row>
    <row r="6" spans="1:10" x14ac:dyDescent="0.25">
      <c r="A6" s="29">
        <v>1997</v>
      </c>
      <c r="B6" s="29">
        <f>(SCN!B4/Labor!B4)*1000000</f>
        <v>24215.464371344518</v>
      </c>
      <c r="C6" s="29">
        <f>(SCN!D4/Labor!B4)*1000000</f>
        <v>19479.068571198157</v>
      </c>
      <c r="D6" s="29">
        <f>'Worked Hours'!O4</f>
        <v>0.20273795511041381</v>
      </c>
      <c r="E6" s="29">
        <f>(SCN!E4/Labor!B4)*1000000</f>
        <v>4804.0736241131408</v>
      </c>
      <c r="F6" s="29">
        <f>('Worked Hours'!L4/Labor!B4)*1000000</f>
        <v>18.799388226298053</v>
      </c>
      <c r="J6" s="38">
        <f t="shared" ref="J6:J26" si="0">(B6-B5)/B6</f>
        <v>1.0148156495583142E-2</v>
      </c>
    </row>
    <row r="7" spans="1:10" x14ac:dyDescent="0.25">
      <c r="A7" s="29">
        <v>1998</v>
      </c>
      <c r="B7" s="29">
        <f>(SCN!B5/Labor!B5)*1000000</f>
        <v>23742.04615851746</v>
      </c>
      <c r="C7" s="29">
        <f>(SCN!D5/Labor!B5)*1000000</f>
        <v>19069.596668805396</v>
      </c>
      <c r="D7" s="29">
        <f>'Worked Hours'!O5</f>
        <v>0.20057473845247714</v>
      </c>
      <c r="E7" s="29">
        <f>(SCN!E5/Labor!B5)*1000000</f>
        <v>4686.5904019447098</v>
      </c>
      <c r="F7" s="29">
        <f>('Worked Hours'!L5/Labor!B5)*1000000</f>
        <v>18.378946557969638</v>
      </c>
      <c r="J7" s="38">
        <f t="shared" si="0"/>
        <v>-1.9940076338248538E-2</v>
      </c>
    </row>
    <row r="8" spans="1:10" x14ac:dyDescent="0.25">
      <c r="A8" s="29">
        <v>1999</v>
      </c>
      <c r="B8" s="29">
        <f>(SCN!B6/Labor!B6)*1000000</f>
        <v>23322.358387745699</v>
      </c>
      <c r="C8" s="29">
        <f>(SCN!D6/Labor!B6)*1000000</f>
        <v>18773.993404802379</v>
      </c>
      <c r="D8" s="29">
        <f>'Worked Hours'!O6</f>
        <v>0.2006341423573238</v>
      </c>
      <c r="E8" s="29">
        <f>(SCN!E6/Labor!B6)*1000000</f>
        <v>4175.6100261749443</v>
      </c>
      <c r="F8" s="29">
        <f>('Worked Hours'!L6/Labor!B6)*1000000</f>
        <v>17.978967935288665</v>
      </c>
      <c r="J8" s="38">
        <f t="shared" si="0"/>
        <v>-1.7995082821138639E-2</v>
      </c>
    </row>
    <row r="9" spans="1:10" x14ac:dyDescent="0.25">
      <c r="A9" s="29">
        <v>2000</v>
      </c>
      <c r="B9" s="29">
        <f>(SCN!B7/Labor!B7)*1000000</f>
        <v>23825.797066244886</v>
      </c>
      <c r="C9" s="29">
        <f>(SCN!D7/Labor!B7)*1000000</f>
        <v>18933.922530707936</v>
      </c>
      <c r="D9" s="29">
        <f>'Worked Hours'!O7</f>
        <v>0.20204250549099273</v>
      </c>
      <c r="E9" s="29">
        <f>(SCN!E7/Labor!B7)*1000000</f>
        <v>4283.1223887949154</v>
      </c>
      <c r="F9" s="29">
        <f>('Worked Hours'!L7/Labor!B7)*1000000</f>
        <v>17.603805703381312</v>
      </c>
      <c r="J9" s="38">
        <f t="shared" si="0"/>
        <v>2.1129982644418326E-2</v>
      </c>
    </row>
    <row r="10" spans="1:10" x14ac:dyDescent="0.25">
      <c r="A10" s="29">
        <v>2001</v>
      </c>
      <c r="B10" s="29">
        <f>(SCN!B8/Labor!B8)*1000000</f>
        <v>23692.504105808817</v>
      </c>
      <c r="C10" s="29">
        <f>(SCN!D8/Labor!B8)*1000000</f>
        <v>18790.246011082978</v>
      </c>
      <c r="D10" s="29">
        <f>'Worked Hours'!O8</f>
        <v>0.20338447916188418</v>
      </c>
      <c r="E10" s="29">
        <f>(SCN!E8/Labor!B8)*1000000</f>
        <v>4255.5722047963864</v>
      </c>
      <c r="F10" s="29">
        <f>('Worked Hours'!L8/Labor!B8)*1000000</f>
        <v>17.273983735106974</v>
      </c>
      <c r="J10" s="38">
        <f t="shared" si="0"/>
        <v>-5.6259549366666009E-3</v>
      </c>
    </row>
    <row r="11" spans="1:10" x14ac:dyDescent="0.25">
      <c r="A11" s="29">
        <v>2002</v>
      </c>
      <c r="B11" s="29">
        <f>(SCN!B9/Labor!B9)*1000000</f>
        <v>23953.279032794646</v>
      </c>
      <c r="C11" s="29">
        <f>(SCN!D9/Labor!B9)*1000000</f>
        <v>18784.016160588781</v>
      </c>
      <c r="D11" s="29">
        <f>'Worked Hours'!O9</f>
        <v>0.2061243109671132</v>
      </c>
      <c r="E11" s="29">
        <f>(SCN!E9/Labor!B9)*1000000</f>
        <v>4114.6552031989077</v>
      </c>
      <c r="F11" s="29">
        <f>('Worked Hours'!L9/Labor!B9)*1000000</f>
        <v>16.955121816664235</v>
      </c>
      <c r="J11" s="38">
        <f t="shared" si="0"/>
        <v>1.0886815397123684E-2</v>
      </c>
    </row>
    <row r="12" spans="1:10" x14ac:dyDescent="0.25">
      <c r="A12" s="29">
        <v>2003</v>
      </c>
      <c r="B12" s="29">
        <f>(SCN!B10/Labor!B10)*1000000</f>
        <v>23780.044776850034</v>
      </c>
      <c r="C12" s="29">
        <f>(SCN!D10/Labor!B10)*1000000</f>
        <v>18432.929027712969</v>
      </c>
      <c r="D12" s="29">
        <f>'Worked Hours'!O10</f>
        <v>0.20475439506449866</v>
      </c>
      <c r="E12" s="29">
        <f>(SCN!E10/Labor!B10)*1000000</f>
        <v>3877.8939284875114</v>
      </c>
      <c r="F12" s="29">
        <f>('Worked Hours'!L10/Labor!B10)*1000000</f>
        <v>16.650948437357954</v>
      </c>
      <c r="J12" s="38">
        <f t="shared" si="0"/>
        <v>-7.2848582738269576E-3</v>
      </c>
    </row>
    <row r="13" spans="1:10" x14ac:dyDescent="0.25">
      <c r="A13" s="29">
        <v>2004</v>
      </c>
      <c r="B13" s="29">
        <f>(SCN!B11/Labor!B11)*1000000</f>
        <v>24704.345112614094</v>
      </c>
      <c r="C13" s="29">
        <f>(SCN!D11/Labor!B11)*1000000</f>
        <v>18814.848022998838</v>
      </c>
      <c r="D13" s="29">
        <f>'Worked Hours'!O11</f>
        <v>0.20895851446049538</v>
      </c>
      <c r="E13" s="29">
        <f>(SCN!E11/Labor!B11)*1000000</f>
        <v>4132.4999754682885</v>
      </c>
      <c r="F13" s="29">
        <f>('Worked Hours'!L11/Labor!B11)*1000000</f>
        <v>16.36421303066442</v>
      </c>
      <c r="J13" s="38">
        <f t="shared" si="0"/>
        <v>3.741448443788576E-2</v>
      </c>
    </row>
    <row r="14" spans="1:10" x14ac:dyDescent="0.25">
      <c r="A14" s="29">
        <v>2005</v>
      </c>
      <c r="B14" s="29">
        <f>(SCN!B12/Labor!B12)*1000000</f>
        <v>25063.069552752611</v>
      </c>
      <c r="C14" s="29">
        <f>(SCN!D12/Labor!B12)*1000000</f>
        <v>19208.981473869328</v>
      </c>
      <c r="D14" s="29">
        <f>'Worked Hours'!O12</f>
        <v>0.20987412913569384</v>
      </c>
      <c r="E14" s="29">
        <f>(SCN!E12/Labor!B12)*1000000</f>
        <v>4141.895886705066</v>
      </c>
      <c r="F14" s="29">
        <f>('Worked Hours'!L12/Labor!B12)*1000000</f>
        <v>16.094742338948805</v>
      </c>
      <c r="J14" s="38">
        <f t="shared" si="0"/>
        <v>1.4312869354788191E-2</v>
      </c>
    </row>
    <row r="15" spans="1:10" x14ac:dyDescent="0.25">
      <c r="A15" s="29">
        <v>2006</v>
      </c>
      <c r="B15" s="29">
        <f>(SCN!B13/Labor!B13)*1000000</f>
        <v>25620.339672097653</v>
      </c>
      <c r="C15" s="29">
        <f>(SCN!D13/Labor!B13)*1000000</f>
        <v>19808.447652759849</v>
      </c>
      <c r="D15" s="29">
        <f>'Worked Hours'!O13</f>
        <v>0.21074431102190699</v>
      </c>
      <c r="E15" s="29">
        <f>(SCN!E13/Labor!B13)*1000000</f>
        <v>4343.9019366478724</v>
      </c>
      <c r="F15" s="29">
        <f>('Worked Hours'!L13/Labor!B13)*1000000</f>
        <v>15.833489030624314</v>
      </c>
      <c r="J15" s="38">
        <f t="shared" si="0"/>
        <v>2.1751082400829659E-2</v>
      </c>
    </row>
    <row r="16" spans="1:10" x14ac:dyDescent="0.25">
      <c r="A16" s="29">
        <v>2007</v>
      </c>
      <c r="B16" s="29">
        <f>(SCN!B14/Labor!B14)*1000000</f>
        <v>26748.032018384529</v>
      </c>
      <c r="C16" s="29">
        <f>(SCN!D14/Labor!B14)*1000000</f>
        <v>20632.309624382277</v>
      </c>
      <c r="D16" s="29">
        <f>'Worked Hours'!O14</f>
        <v>0.21048569873507519</v>
      </c>
      <c r="E16" s="29">
        <f>(SCN!E14/Labor!B14)*1000000</f>
        <v>4786.6135236296732</v>
      </c>
      <c r="F16" s="29">
        <f>('Worked Hours'!L14/Labor!B14)*1000000</f>
        <v>15.592220987343872</v>
      </c>
      <c r="J16" s="38">
        <f t="shared" si="0"/>
        <v>4.2159824898960335E-2</v>
      </c>
    </row>
    <row r="17" spans="1:10" x14ac:dyDescent="0.25">
      <c r="A17" s="29">
        <v>2008</v>
      </c>
      <c r="B17" s="29">
        <f>(SCN!B15/Labor!B15)*1000000</f>
        <v>27689.079597959542</v>
      </c>
      <c r="C17" s="29">
        <f>(SCN!D15/Labor!B15)*1000000</f>
        <v>21420.780585675286</v>
      </c>
      <c r="D17" s="29">
        <f>'Worked Hours'!O15</f>
        <v>0.21272230374493778</v>
      </c>
      <c r="E17" s="29">
        <f>(SCN!E15/Labor!B15)*1000000</f>
        <v>5294.1426020149329</v>
      </c>
      <c r="F17" s="29">
        <f>('Worked Hours'!L15/Labor!B15)*1000000</f>
        <v>15.366051094599273</v>
      </c>
      <c r="J17" s="38">
        <f t="shared" si="0"/>
        <v>3.398623548485017E-2</v>
      </c>
    </row>
    <row r="18" spans="1:10" x14ac:dyDescent="0.25">
      <c r="A18" s="29">
        <v>2009</v>
      </c>
      <c r="B18" s="29">
        <f>(SCN!B16/Labor!B16)*1000000</f>
        <v>27250.559101753992</v>
      </c>
      <c r="C18" s="29">
        <f>(SCN!D16/Labor!B16)*1000000</f>
        <v>21972.26264613041</v>
      </c>
      <c r="D18" s="29">
        <f>'Worked Hours'!O16</f>
        <v>0.2107128493487834</v>
      </c>
      <c r="E18" s="29">
        <f>(SCN!E16/Labor!B16)*1000000</f>
        <v>5105.5397852881842</v>
      </c>
      <c r="F18" s="29">
        <f>('Worked Hours'!L16/Labor!B16)*1000000</f>
        <v>15.149285043857406</v>
      </c>
      <c r="J18" s="38">
        <f t="shared" si="0"/>
        <v>-1.6092165102672147E-2</v>
      </c>
    </row>
    <row r="19" spans="1:10" x14ac:dyDescent="0.25">
      <c r="A19" s="29">
        <v>2010</v>
      </c>
      <c r="B19" s="29">
        <f>(SCN!B17/Labor!B17)*1000000</f>
        <v>28883.005885809402</v>
      </c>
      <c r="C19" s="29">
        <f>(SCN!D17/Labor!B17)*1000000</f>
        <v>22886.803459371909</v>
      </c>
      <c r="D19" s="29">
        <f>'Worked Hours'!O17</f>
        <v>0.2089305588975548</v>
      </c>
      <c r="E19" s="29">
        <f>(SCN!E17/Labor!B17)*1000000</f>
        <v>5931.0309990481019</v>
      </c>
      <c r="F19" s="29">
        <f>('Worked Hours'!L17/Labor!B17)*1000000</f>
        <v>14.940074025167975</v>
      </c>
      <c r="J19" s="38">
        <f t="shared" si="0"/>
        <v>5.6519283017473339E-2</v>
      </c>
    </row>
    <row r="20" spans="1:10" x14ac:dyDescent="0.25">
      <c r="A20" s="29">
        <v>2011</v>
      </c>
      <c r="B20" s="29">
        <f>(SCN!B18/Labor!B18)*1000000</f>
        <v>29621.720258034362</v>
      </c>
      <c r="C20" s="29">
        <f>(SCN!D18/Labor!B18)*1000000</f>
        <v>23521.069107432519</v>
      </c>
      <c r="D20" s="29">
        <f>'Worked Hours'!O18</f>
        <v>0.20703992564231163</v>
      </c>
      <c r="E20" s="29">
        <f>(SCN!E18/Labor!B18)*1000000</f>
        <v>6250.0175958115396</v>
      </c>
      <c r="F20" s="29">
        <f>('Worked Hours'!L18/Labor!B18)*1000000</f>
        <v>14.743823752844071</v>
      </c>
      <c r="J20" s="38">
        <f t="shared" si="0"/>
        <v>2.4938267115820093E-2</v>
      </c>
    </row>
    <row r="21" spans="1:10" x14ac:dyDescent="0.25">
      <c r="A21" s="29">
        <v>2012</v>
      </c>
      <c r="B21" s="29">
        <f>(SCN!B19/Labor!B19)*1000000</f>
        <v>29795.725505638326</v>
      </c>
      <c r="C21" s="29">
        <f>(SCN!D19/Labor!B19)*1000000</f>
        <v>23958.498144644222</v>
      </c>
      <c r="D21" s="29">
        <f>'Worked Hours'!O19</f>
        <v>0.20871039384177742</v>
      </c>
      <c r="E21" s="29">
        <f>(SCN!E19/Labor!B19)*1000000</f>
        <v>6216.2659436510003</v>
      </c>
      <c r="F21" s="29">
        <f>('Worked Hours'!L19/Labor!B19)*1000000</f>
        <v>14.558120136284554</v>
      </c>
      <c r="J21" s="38">
        <f t="shared" si="0"/>
        <v>5.8399399461186528E-3</v>
      </c>
    </row>
    <row r="22" spans="1:10" x14ac:dyDescent="0.25">
      <c r="A22" s="29">
        <v>2013</v>
      </c>
      <c r="B22" s="29">
        <f>(SCN!B20/Labor!B20)*1000000</f>
        <v>30307.135140901024</v>
      </c>
      <c r="C22" s="29">
        <f>(SCN!D20/Labor!B20)*1000000</f>
        <v>24372.484177805225</v>
      </c>
      <c r="D22" s="29">
        <f>'Worked Hours'!O20</f>
        <v>0.20878028941473792</v>
      </c>
      <c r="E22" s="29">
        <f>(SCN!E20/Labor!B20)*1000000</f>
        <v>6496.2130304358634</v>
      </c>
      <c r="F22" s="29">
        <f>('Worked Hours'!L20/Labor!B20)*1000000</f>
        <v>14.383164897755311</v>
      </c>
      <c r="J22" s="38">
        <f t="shared" si="0"/>
        <v>1.6874232186087593E-2</v>
      </c>
    </row>
    <row r="23" spans="1:10" x14ac:dyDescent="0.25">
      <c r="A23" s="29">
        <v>2014</v>
      </c>
      <c r="B23" s="29">
        <f>(SCN!B21/Labor!B21)*1000000</f>
        <v>30100.090313323526</v>
      </c>
      <c r="C23" s="29">
        <f>(SCN!D21/Labor!B21)*1000000</f>
        <v>24545.457400791012</v>
      </c>
      <c r="D23" s="29">
        <f>'Worked Hours'!O21</f>
        <v>0.20857758825378767</v>
      </c>
      <c r="E23" s="29">
        <f>(SCN!E21/Labor!B21)*1000000</f>
        <v>6148.3191047346836</v>
      </c>
      <c r="F23" s="29">
        <f>('Worked Hours'!L21/Labor!B21)*1000000</f>
        <v>14.22033765012606</v>
      </c>
      <c r="J23" s="38">
        <f t="shared" si="0"/>
        <v>-6.8785450615691827E-3</v>
      </c>
    </row>
    <row r="24" spans="1:10" x14ac:dyDescent="0.25">
      <c r="A24" s="29">
        <v>2015</v>
      </c>
      <c r="B24" s="29">
        <f>(SCN!B22/Labor!B22)*1000000</f>
        <v>28713.325509632752</v>
      </c>
      <c r="C24" s="29">
        <f>(SCN!D22/Labor!B22)*1000000</f>
        <v>23595.322838043041</v>
      </c>
      <c r="D24" s="29">
        <f>'Worked Hours'!O22</f>
        <v>0.20510736570826579</v>
      </c>
      <c r="E24" s="29">
        <f>(SCN!E22/Labor!B22)*1000000</f>
        <v>5232.6215459903315</v>
      </c>
      <c r="F24" s="29">
        <f>('Worked Hours'!L22/Labor!B22)*1000000</f>
        <v>14.070835322366364</v>
      </c>
      <c r="J24" s="38">
        <f t="shared" si="0"/>
        <v>-4.8296906717598481E-2</v>
      </c>
    </row>
    <row r="25" spans="1:10" x14ac:dyDescent="0.25">
      <c r="A25" s="29">
        <v>2016</v>
      </c>
      <c r="B25" s="29">
        <f>(SCN!B23/Labor!B23)*1000000</f>
        <v>27503.702347813934</v>
      </c>
      <c r="C25" s="29">
        <f>(SCN!D23/Labor!B23)*1000000</f>
        <v>22692.239245815144</v>
      </c>
      <c r="D25" s="29">
        <f>'Worked Hours'!O23</f>
        <v>0.1971848764855948</v>
      </c>
      <c r="E25" s="29">
        <f>(SCN!E23/Labor!B23)*1000000</f>
        <v>4554.7704780932145</v>
      </c>
      <c r="F25" s="29">
        <f>('Worked Hours'!L23/Labor!B23)*1000000</f>
        <v>13.945723341599795</v>
      </c>
      <c r="J25" s="38">
        <f t="shared" si="0"/>
        <v>-4.3980375678947879E-2</v>
      </c>
    </row>
    <row r="26" spans="1:10" x14ac:dyDescent="0.25">
      <c r="A26" s="29">
        <v>2017</v>
      </c>
      <c r="B26" s="29">
        <f>(SCN!B24/Labor!B24)*1000000</f>
        <v>27545.829760789722</v>
      </c>
      <c r="C26" s="29">
        <f>(SCN!D24/Labor!B24)*1000000</f>
        <v>22672.554084131541</v>
      </c>
      <c r="D26" s="29">
        <f>'Worked Hours'!O24</f>
        <v>0.19527676600430696</v>
      </c>
      <c r="E26" s="29">
        <f>(SCN!E24/Labor!B24)*1000000</f>
        <v>4401.156797315517</v>
      </c>
      <c r="F26" s="29">
        <f>('Worked Hours'!L24/Labor!B24)*1000000</f>
        <v>13.826912948779212</v>
      </c>
      <c r="J26" s="38">
        <f t="shared" si="0"/>
        <v>1.5293571964114189E-3</v>
      </c>
    </row>
    <row r="27" spans="1:10" x14ac:dyDescent="0.25">
      <c r="B27" s="29"/>
      <c r="C27" s="29"/>
      <c r="D27" s="29"/>
      <c r="E27" s="29"/>
      <c r="F27" s="2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A899-97A9-4DD2-90D6-DB819FF495FF}">
  <dimension ref="A1:O29"/>
  <sheetViews>
    <sheetView zoomScaleNormal="100" workbookViewId="0">
      <selection activeCell="F4" sqref="F4"/>
    </sheetView>
  </sheetViews>
  <sheetFormatPr defaultRowHeight="15" x14ac:dyDescent="0.25"/>
  <cols>
    <col min="1" max="1" width="8.7109375" style="29"/>
  </cols>
  <sheetData>
    <row r="1" spans="1:15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B2" s="29" t="s">
        <v>38</v>
      </c>
      <c r="C2" s="29" t="s">
        <v>39</v>
      </c>
      <c r="D2" s="29" t="s">
        <v>40</v>
      </c>
      <c r="E2" s="29" t="s">
        <v>41</v>
      </c>
      <c r="F2" s="29" t="s">
        <v>42</v>
      </c>
      <c r="G2" s="29" t="s">
        <v>43</v>
      </c>
      <c r="H2" s="14" t="s">
        <v>44</v>
      </c>
      <c r="I2" s="14"/>
      <c r="J2" s="29" t="s">
        <v>39</v>
      </c>
      <c r="K2" s="29" t="s">
        <v>42</v>
      </c>
      <c r="L2" s="29" t="s">
        <v>43</v>
      </c>
      <c r="M2" s="14" t="s">
        <v>38</v>
      </c>
      <c r="N2" s="29"/>
      <c r="O2" s="29" t="s">
        <v>45</v>
      </c>
    </row>
    <row r="3" spans="1:15" x14ac:dyDescent="0.25">
      <c r="B3" s="19">
        <f>M3</f>
        <v>2.5464000000000002</v>
      </c>
      <c r="C3" s="19">
        <f>AVERAGE(B6:B29)</f>
        <v>0.18653830279560013</v>
      </c>
      <c r="D3" s="19">
        <f>AVERAGE(C6:C29)</f>
        <v>0.79753348469634855</v>
      </c>
      <c r="E3" s="27">
        <f>AVERAGE('Worked Hours'!O2:O25)</f>
        <v>0.20542989007330362</v>
      </c>
      <c r="F3" s="20">
        <f>('Final Data'!B26/'Final Data'!B4)^(1/22)</f>
        <v>1.0062950638233601</v>
      </c>
      <c r="G3" s="28">
        <f>(Labor!D23/Labor!D2)^(1/22)</f>
        <v>1.0181952084989143</v>
      </c>
      <c r="H3" s="21">
        <v>0.05</v>
      </c>
      <c r="I3" s="14"/>
      <c r="J3" s="15">
        <f>ROUND(C3,2)</f>
        <v>0.19</v>
      </c>
      <c r="K3" s="26">
        <f>ROUND(F3,4)</f>
        <v>1.0063</v>
      </c>
      <c r="L3" s="26">
        <f>ROUND(G3,4)</f>
        <v>1.0182</v>
      </c>
      <c r="M3" s="25">
        <f>ROUND(J3/((K3-1)+(L3-1)+(K3-1)*(L3-1)+H3),4)</f>
        <v>2.5464000000000002</v>
      </c>
      <c r="N3" s="29"/>
      <c r="O3" s="10">
        <v>-33.200000000000003</v>
      </c>
    </row>
    <row r="4" spans="1:15" x14ac:dyDescent="0.2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25">
      <c r="B5" s="29" t="s">
        <v>39</v>
      </c>
      <c r="C5" s="29" t="s">
        <v>40</v>
      </c>
      <c r="D5" s="1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25">
      <c r="A6" s="29">
        <v>1995</v>
      </c>
      <c r="B6">
        <f>SCN!K2/SCN!B2</f>
        <v>0.19235772012355498</v>
      </c>
      <c r="C6">
        <f>SCN!J2/SCN!B2</f>
        <v>0.81228118180396436</v>
      </c>
    </row>
    <row r="7" spans="1:15" x14ac:dyDescent="0.25">
      <c r="A7" s="29">
        <v>1996</v>
      </c>
      <c r="B7" s="29">
        <f>SCN!K3/SCN!B3</f>
        <v>0.19008524656730996</v>
      </c>
      <c r="C7" s="29">
        <f>SCN!J3/SCN!B3</f>
        <v>0.81050046716723578</v>
      </c>
    </row>
    <row r="8" spans="1:15" x14ac:dyDescent="0.25">
      <c r="A8" s="29">
        <v>1997</v>
      </c>
      <c r="B8" s="29">
        <f>SCN!K4/SCN!B4</f>
        <v>0.1991469459381939</v>
      </c>
      <c r="C8" s="29">
        <f>SCN!J4/SCN!B4</f>
        <v>0.80440615436839613</v>
      </c>
    </row>
    <row r="9" spans="1:15" x14ac:dyDescent="0.25">
      <c r="A9" s="29">
        <v>1998</v>
      </c>
      <c r="B9" s="29">
        <f>SCN!K5/SCN!B5</f>
        <v>0.1982286583584586</v>
      </c>
      <c r="C9" s="29">
        <f>SCN!J5/SCN!B5</f>
        <v>0.80319937639259353</v>
      </c>
    </row>
    <row r="10" spans="1:15" x14ac:dyDescent="0.25">
      <c r="A10" s="29">
        <v>1999</v>
      </c>
      <c r="B10" s="29">
        <f>SCN!K6/SCN!B6</f>
        <v>0.18050179723038001</v>
      </c>
      <c r="C10" s="29">
        <f>SCN!J6/SCN!B6</f>
        <v>0.80497834278487146</v>
      </c>
    </row>
    <row r="11" spans="1:15" x14ac:dyDescent="0.25">
      <c r="A11" s="29">
        <v>2000</v>
      </c>
      <c r="B11" s="29">
        <f>SCN!K7/SCN!B7</f>
        <v>0.18489902427205371</v>
      </c>
      <c r="C11" s="29">
        <f>SCN!J7/SCN!B7</f>
        <v>0.79468159986691489</v>
      </c>
    </row>
    <row r="12" spans="1:15" x14ac:dyDescent="0.25">
      <c r="A12" s="29">
        <v>2001</v>
      </c>
      <c r="B12" s="29">
        <f>SCN!K8/SCN!B8</f>
        <v>0.1816033141101831</v>
      </c>
      <c r="C12" s="29">
        <f>SCN!J8/SCN!B8</f>
        <v>0.79308822432475912</v>
      </c>
    </row>
    <row r="13" spans="1:15" x14ac:dyDescent="0.25">
      <c r="A13" s="29">
        <v>2002</v>
      </c>
      <c r="B13" s="29">
        <f>SCN!K9/SCN!B9</f>
        <v>0.16773003638492051</v>
      </c>
      <c r="C13" s="29">
        <f>SCN!J9/SCN!B9</f>
        <v>0.7841939358227914</v>
      </c>
    </row>
    <row r="14" spans="1:15" x14ac:dyDescent="0.25">
      <c r="A14" s="29">
        <v>2003</v>
      </c>
      <c r="B14" s="29">
        <f>SCN!K10/SCN!B10</f>
        <v>0.16112111665302273</v>
      </c>
      <c r="C14" s="29">
        <f>SCN!J10/SCN!B10</f>
        <v>0.77514273840465997</v>
      </c>
    </row>
    <row r="15" spans="1:15" x14ac:dyDescent="0.25">
      <c r="A15" s="29">
        <v>2004</v>
      </c>
      <c r="B15" s="29">
        <f>SCN!K11/SCN!B11</f>
        <v>0.16300899998487087</v>
      </c>
      <c r="C15" s="29">
        <f>SCN!J11/SCN!B11</f>
        <v>0.76160076040193969</v>
      </c>
    </row>
    <row r="16" spans="1:15" x14ac:dyDescent="0.25">
      <c r="A16" s="29">
        <v>2005</v>
      </c>
      <c r="B16" s="29">
        <f>SCN!K12/SCN!B12</f>
        <v>0.16661272546644687</v>
      </c>
      <c r="C16" s="29">
        <f>SCN!J12/SCN!B12</f>
        <v>0.76642573382475643</v>
      </c>
    </row>
    <row r="17" spans="1:3" x14ac:dyDescent="0.25">
      <c r="A17" s="29">
        <v>2006</v>
      </c>
      <c r="B17" s="29">
        <f>SCN!K13/SCN!B13</f>
        <v>0.17367116567871518</v>
      </c>
      <c r="C17" s="29">
        <f>SCN!J13/SCN!B13</f>
        <v>0.77315320195901382</v>
      </c>
    </row>
    <row r="18" spans="1:3" x14ac:dyDescent="0.25">
      <c r="A18" s="29">
        <v>2007</v>
      </c>
      <c r="B18" s="29">
        <f>SCN!K14/SCN!B14</f>
        <v>0.18782956624385119</v>
      </c>
      <c r="C18" s="29">
        <f>SCN!J14/SCN!B14</f>
        <v>0.77135804272259068</v>
      </c>
    </row>
    <row r="19" spans="1:3" x14ac:dyDescent="0.25">
      <c r="A19" s="29">
        <v>2008</v>
      </c>
      <c r="B19" s="29">
        <f>SCN!K15/SCN!B15</f>
        <v>0.20246227128662708</v>
      </c>
      <c r="C19" s="29">
        <f>SCN!J15/SCN!B15</f>
        <v>0.77361836856627852</v>
      </c>
    </row>
    <row r="20" spans="1:3" x14ac:dyDescent="0.25">
      <c r="A20" s="29">
        <v>2009</v>
      </c>
      <c r="B20" s="29">
        <f>SCN!K16/SCN!B16</f>
        <v>0.18489943416536631</v>
      </c>
      <c r="C20" s="29">
        <f>SCN!J16/SCN!B16</f>
        <v>0.80630502163591045</v>
      </c>
    </row>
    <row r="21" spans="1:3" x14ac:dyDescent="0.25">
      <c r="A21" s="29">
        <v>2010</v>
      </c>
      <c r="B21" s="29">
        <f>SCN!K17/SCN!B17</f>
        <v>0.21801321565156837</v>
      </c>
      <c r="C21" s="29">
        <f>SCN!J17/SCN!B17</f>
        <v>0.79239686997455128</v>
      </c>
    </row>
    <row r="22" spans="1:3" x14ac:dyDescent="0.25">
      <c r="A22" s="29">
        <v>2011</v>
      </c>
      <c r="B22" s="29">
        <f>SCN!K18/SCN!B18</f>
        <v>0.22169217186798862</v>
      </c>
      <c r="C22" s="29">
        <f>SCN!J18/SCN!B18</f>
        <v>0.79404804658678974</v>
      </c>
    </row>
    <row r="23" spans="1:3" x14ac:dyDescent="0.25">
      <c r="A23" s="29">
        <v>2012</v>
      </c>
      <c r="B23" s="29">
        <f>SCN!K19/SCN!B19</f>
        <v>0.21295229565346069</v>
      </c>
      <c r="C23" s="29">
        <f>SCN!J19/SCN!B19</f>
        <v>0.80409178625673983</v>
      </c>
    </row>
    <row r="24" spans="1:3" x14ac:dyDescent="0.25">
      <c r="A24" s="29">
        <v>2013</v>
      </c>
      <c r="B24" s="29">
        <f>SCN!K20/SCN!B20</f>
        <v>0.21885193767762634</v>
      </c>
      <c r="C24" s="29">
        <f>SCN!J20/SCN!B20</f>
        <v>0.80418304351417624</v>
      </c>
    </row>
    <row r="25" spans="1:3" x14ac:dyDescent="0.25">
      <c r="A25" s="29">
        <v>2014</v>
      </c>
      <c r="B25" s="29">
        <f>SCN!K21/SCN!B21</f>
        <v>0.20708370430921449</v>
      </c>
      <c r="C25" s="29">
        <f>SCN!J21/SCN!B21</f>
        <v>0.8154612542782369</v>
      </c>
    </row>
    <row r="26" spans="1:3" x14ac:dyDescent="0.25">
      <c r="A26" s="29">
        <v>2015</v>
      </c>
      <c r="B26" s="29">
        <f>SCN!K22/SCN!B22</f>
        <v>0.18011519898275008</v>
      </c>
      <c r="C26" s="29">
        <f>SCN!J22/SCN!B22</f>
        <v>0.82175514048789922</v>
      </c>
    </row>
    <row r="27" spans="1:3" x14ac:dyDescent="0.25">
      <c r="A27" s="29">
        <v>2016</v>
      </c>
      <c r="B27" s="29">
        <f>SCN!K23/SCN!B23</f>
        <v>0.16204299752171053</v>
      </c>
      <c r="C27" s="29">
        <f>SCN!J23/SCN!B23</f>
        <v>0.82506125752988968</v>
      </c>
    </row>
    <row r="28" spans="1:3" x14ac:dyDescent="0.25">
      <c r="A28" s="29">
        <v>2017</v>
      </c>
      <c r="B28" s="29">
        <f>SCN!K24/SCN!B24</f>
        <v>0.16072076782016934</v>
      </c>
      <c r="C28" s="29">
        <f>SCN!J24/SCN!B24</f>
        <v>0.82308481105931053</v>
      </c>
    </row>
    <row r="29" spans="1:3" x14ac:dyDescent="0.25">
      <c r="A29" s="29">
        <v>2018</v>
      </c>
      <c r="B29" s="29">
        <f>SCN!K25/SCN!B25</f>
        <v>0.1612889551459597</v>
      </c>
      <c r="C29" s="29">
        <f>SCN!J25/SCN!B25</f>
        <v>0.82578827297809843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A775-477C-4426-8564-571B3F1C0BD4}">
  <dimension ref="A1:L56"/>
  <sheetViews>
    <sheetView topLeftCell="A4" zoomScale="70" zoomScaleNormal="70" workbookViewId="0">
      <selection activeCell="C67" sqref="C67"/>
    </sheetView>
  </sheetViews>
  <sheetFormatPr defaultRowHeight="15" x14ac:dyDescent="0.25"/>
  <cols>
    <col min="3" max="3" width="27.28515625" bestFit="1" customWidth="1"/>
    <col min="4" max="4" width="16.42578125" bestFit="1" customWidth="1"/>
    <col min="5" max="5" width="12" bestFit="1" customWidth="1"/>
    <col min="6" max="6" width="10.140625" bestFit="1" customWidth="1"/>
    <col min="7" max="7" width="10.42578125" bestFit="1" customWidth="1"/>
    <col min="10" max="10" width="11.42578125" bestFit="1" customWidth="1"/>
    <col min="11" max="11" width="17.85546875" bestFit="1" customWidth="1"/>
  </cols>
  <sheetData>
    <row r="1" spans="1:12" x14ac:dyDescent="0.25">
      <c r="A1" s="29"/>
      <c r="B1" s="29" t="s">
        <v>46</v>
      </c>
    </row>
    <row r="2" spans="1:12" x14ac:dyDescent="0.25">
      <c r="A2" s="29"/>
      <c r="B2" s="29"/>
    </row>
    <row r="3" spans="1:12" x14ac:dyDescent="0.25">
      <c r="A3" s="29"/>
      <c r="B3" s="29" t="s">
        <v>47</v>
      </c>
      <c r="C3" s="29" t="s">
        <v>48</v>
      </c>
      <c r="D3" s="29" t="s">
        <v>49</v>
      </c>
      <c r="E3" s="29" t="s">
        <v>50</v>
      </c>
      <c r="F3" s="29" t="s">
        <v>36</v>
      </c>
      <c r="G3" s="29" t="s">
        <v>51</v>
      </c>
      <c r="H3" s="29" t="s">
        <v>34</v>
      </c>
      <c r="I3" s="29" t="s">
        <v>31</v>
      </c>
      <c r="J3" s="29" t="s">
        <v>37</v>
      </c>
      <c r="K3" s="29" t="s">
        <v>52</v>
      </c>
      <c r="L3" s="29"/>
    </row>
    <row r="4" spans="1:12" x14ac:dyDescent="0.25">
      <c r="A4" s="29">
        <v>1995</v>
      </c>
      <c r="B4" s="29">
        <v>0</v>
      </c>
      <c r="C4">
        <f>1/(Calibration!$F$3)^Wedges!B4</f>
        <v>1</v>
      </c>
      <c r="D4">
        <f>1/(Calibration!$G$3)^Wedges!B4</f>
        <v>1</v>
      </c>
      <c r="E4">
        <f>'Final Data'!C4*Wedges!C4</f>
        <v>19489.680488380189</v>
      </c>
      <c r="F4">
        <f>'Final Data'!E4*Wedges!C4</f>
        <v>4585.0015973984382</v>
      </c>
      <c r="G4">
        <f>'Final Data'!F4*Wedges!C4</f>
        <v>19.665343174285066</v>
      </c>
      <c r="H4">
        <f>'Final Data'!B4*Wedges!C4</f>
        <v>23993.760935217408</v>
      </c>
      <c r="I4">
        <f>'Worked Hours'!O2</f>
        <v>0.20893405167652024</v>
      </c>
      <c r="J4">
        <f>Calibration!$B$3*'Final Data'!B4</f>
        <v>61097.712845437614</v>
      </c>
      <c r="K4">
        <f>J4/H4</f>
        <v>2.5464000000000002</v>
      </c>
    </row>
    <row r="5" spans="1:12" x14ac:dyDescent="0.25">
      <c r="A5" s="29">
        <v>1996</v>
      </c>
      <c r="B5" s="29">
        <v>1</v>
      </c>
      <c r="C5" s="29">
        <f>1/(Calibration!$F$3)^Wedges!B5</f>
        <v>0.99374431610601133</v>
      </c>
      <c r="D5" s="29">
        <f>1/(Calibration!$G$3)^Wedges!B5</f>
        <v>0.98212994095136352</v>
      </c>
      <c r="E5" s="29">
        <f>'Final Data'!C5*Wedges!C5</f>
        <v>19305.938801891276</v>
      </c>
      <c r="F5" s="29">
        <f>'Final Data'!E5*Wedges!C5</f>
        <v>4506.626325584698</v>
      </c>
      <c r="G5" s="29">
        <f>'Final Data'!F5*Wedges!C5</f>
        <v>19.110406857111684</v>
      </c>
      <c r="H5" s="29">
        <f>'Final Data'!B5*Wedges!C5</f>
        <v>23819.775045123763</v>
      </c>
      <c r="I5" s="29">
        <f>'Worked Hours'!O3</f>
        <v>0.20258768562759658</v>
      </c>
      <c r="J5" s="29">
        <f>Calibration!$B$3*'Final Data'!B5</f>
        <v>61036.500226314347</v>
      </c>
      <c r="K5" s="29">
        <f t="shared" ref="K5:K27" si="0">J5/H5</f>
        <v>2.5624297505198044</v>
      </c>
    </row>
    <row r="6" spans="1:12" x14ac:dyDescent="0.25">
      <c r="A6" s="29">
        <v>1997</v>
      </c>
      <c r="B6" s="29">
        <f t="shared" ref="B6:B27" si="1">B5+1</f>
        <v>2</v>
      </c>
      <c r="C6" s="29">
        <f>1/(Calibration!$F$3)^Wedges!B6</f>
        <v>0.98752776579300416</v>
      </c>
      <c r="D6" s="29">
        <f>1/(Calibration!$G$3)^Wedges!B6</f>
        <v>0.96457922091312875</v>
      </c>
      <c r="E6" s="29">
        <f>'Final Data'!C6*Wedges!C6</f>
        <v>19236.121065844043</v>
      </c>
      <c r="F6" s="29">
        <f>'Final Data'!E6*Wedges!C6</f>
        <v>4744.1560927255505</v>
      </c>
      <c r="G6" s="29">
        <f>'Final Data'!F6*Wedges!C6</f>
        <v>18.564917853391425</v>
      </c>
      <c r="H6" s="29">
        <f>'Final Data'!B6*Wedges!C6</f>
        <v>23913.443428273946</v>
      </c>
      <c r="I6" s="29">
        <f>'Worked Hours'!O4</f>
        <v>0.20273795511041381</v>
      </c>
      <c r="J6" s="29">
        <f>Calibration!$B$3*'Final Data'!B6</f>
        <v>61662.258475191687</v>
      </c>
      <c r="K6" s="29">
        <f t="shared" si="0"/>
        <v>2.5785604093422032</v>
      </c>
    </row>
    <row r="7" spans="1:12" x14ac:dyDescent="0.25">
      <c r="A7" s="29">
        <v>1998</v>
      </c>
      <c r="B7" s="29">
        <f t="shared" si="1"/>
        <v>3</v>
      </c>
      <c r="C7" s="29">
        <f>1/(Calibration!$F$3)^Wedges!B7</f>
        <v>0.98135010425366631</v>
      </c>
      <c r="D7" s="29">
        <f>1/(Calibration!$G$3)^Wedges!B7</f>
        <v>0.9473421332783234</v>
      </c>
      <c r="E7" s="29">
        <f>'Final Data'!C7*Wedges!C7</f>
        <v>18713.950679007543</v>
      </c>
      <c r="F7" s="29">
        <f>'Final Data'!E7*Wedges!C7</f>
        <v>4599.1859795426726</v>
      </c>
      <c r="G7" s="29">
        <f>'Final Data'!F7*Wedges!C7</f>
        <v>18.036181120736064</v>
      </c>
      <c r="H7" s="29">
        <f>'Final Data'!B7*Wedges!C7</f>
        <v>23299.259472856465</v>
      </c>
      <c r="I7" s="29">
        <f>'Worked Hours'!O5</f>
        <v>0.20057473845247714</v>
      </c>
      <c r="J7" s="29">
        <f>Calibration!$B$3*'Final Data'!B7</f>
        <v>60456.746338048863</v>
      </c>
      <c r="K7" s="29">
        <f t="shared" si="0"/>
        <v>2.594792611691402</v>
      </c>
    </row>
    <row r="8" spans="1:12" x14ac:dyDescent="0.25">
      <c r="A8" s="29">
        <v>1999</v>
      </c>
      <c r="B8" s="29">
        <f t="shared" si="1"/>
        <v>4</v>
      </c>
      <c r="C8" s="29">
        <f>1/(Calibration!$F$3)^Wedges!B8</f>
        <v>0.97521108821212243</v>
      </c>
      <c r="D8" s="29">
        <f>1/(Calibration!$G$3)^Wedges!B8</f>
        <v>0.93041307341737844</v>
      </c>
      <c r="E8" s="29">
        <f>'Final Data'!C8*Wedges!C8</f>
        <v>18308.606538384538</v>
      </c>
      <c r="F8" s="29">
        <f>'Final Data'!E8*Wedges!C8</f>
        <v>4072.1011975755164</v>
      </c>
      <c r="G8" s="29">
        <f>'Final Data'!F8*Wedges!C8</f>
        <v>17.533288885103715</v>
      </c>
      <c r="H8" s="29">
        <f>'Final Data'!B8*Wedges!C8</f>
        <v>22744.222502986602</v>
      </c>
      <c r="I8" s="29">
        <f>'Worked Hours'!O6</f>
        <v>0.2006341423573238</v>
      </c>
      <c r="J8" s="29">
        <f>Calibration!$B$3*'Final Data'!B8</f>
        <v>59388.053398555654</v>
      </c>
      <c r="K8" s="29">
        <f t="shared" si="0"/>
        <v>2.6111269967903832</v>
      </c>
    </row>
    <row r="9" spans="1:12" x14ac:dyDescent="0.25">
      <c r="A9" s="29">
        <v>2000</v>
      </c>
      <c r="B9" s="29">
        <f t="shared" si="1"/>
        <v>5</v>
      </c>
      <c r="C9" s="29">
        <f>1/(Calibration!$F$3)^Wedges!B9</f>
        <v>0.96911047591435462</v>
      </c>
      <c r="D9" s="29">
        <f>1/(Calibration!$G$3)^Wedges!B9</f>
        <v>0.9137865368557867</v>
      </c>
      <c r="E9" s="29">
        <f>'Final Data'!C9*Wedges!C9</f>
        <v>18349.06267465989</v>
      </c>
      <c r="F9" s="29">
        <f>'Final Data'!E9*Wedges!C9</f>
        <v>4150.8187766044675</v>
      </c>
      <c r="G9" s="29">
        <f>'Final Data'!F9*Wedges!C9</f>
        <v>17.060032523107694</v>
      </c>
      <c r="H9" s="29">
        <f>'Final Data'!B9*Wedges!C9</f>
        <v>23089.829533907414</v>
      </c>
      <c r="I9" s="29">
        <f>'Worked Hours'!O7</f>
        <v>0.20204250549099273</v>
      </c>
      <c r="J9" s="29">
        <f>Calibration!$B$3*'Final Data'!B9</f>
        <v>60670.009649485983</v>
      </c>
      <c r="K9" s="29">
        <f t="shared" si="0"/>
        <v>2.6275642078860773</v>
      </c>
    </row>
    <row r="10" spans="1:12" x14ac:dyDescent="0.25">
      <c r="A10" s="29">
        <v>2001</v>
      </c>
      <c r="B10" s="29">
        <f t="shared" si="1"/>
        <v>6</v>
      </c>
      <c r="C10" s="29">
        <f>1/(Calibration!$F$3)^Wedges!B10</f>
        <v>0.96304802711868154</v>
      </c>
      <c r="D10" s="29">
        <f>1/(Calibration!$G$3)^Wedges!B10</f>
        <v>0.89745711748432466</v>
      </c>
      <c r="E10" s="29">
        <f>'Final Data'!C10*Wedges!C10</f>
        <v>18095.909350048136</v>
      </c>
      <c r="F10" s="29">
        <f>'Final Data'!E10*Wedges!C10</f>
        <v>4098.3204160902578</v>
      </c>
      <c r="G10" s="29">
        <f>'Final Data'!F10*Wedges!C10</f>
        <v>16.635675956574964</v>
      </c>
      <c r="H10" s="29">
        <f>'Final Data'!B10*Wedges!C10</f>
        <v>22817.019336600442</v>
      </c>
      <c r="I10" s="29">
        <f>'Worked Hours'!O8</f>
        <v>0.20338447916188418</v>
      </c>
      <c r="J10" s="29">
        <f>Calibration!$B$3*'Final Data'!B10</f>
        <v>60330.592455031576</v>
      </c>
      <c r="K10" s="29">
        <f t="shared" si="0"/>
        <v>2.6441048922746964</v>
      </c>
    </row>
    <row r="11" spans="1:12" x14ac:dyDescent="0.25">
      <c r="A11" s="29">
        <v>2002</v>
      </c>
      <c r="B11" s="29">
        <f t="shared" si="1"/>
        <v>7</v>
      </c>
      <c r="C11" s="29">
        <f>1/(Calibration!$F$3)^Wedges!B11</f>
        <v>0.95702350308629791</v>
      </c>
      <c r="D11" s="29">
        <f>1/(Calibration!$G$3)^Wedges!B11</f>
        <v>0.88141950580126061</v>
      </c>
      <c r="E11" s="29">
        <f>'Final Data'!C11*Wedges!C11</f>
        <v>17976.744948036307</v>
      </c>
      <c r="F11" s="29">
        <f>'Final Data'!E11*Wedges!C11</f>
        <v>3937.8217365576816</v>
      </c>
      <c r="G11" s="29">
        <f>'Final Data'!F11*Wedges!C11</f>
        <v>16.226450076238923</v>
      </c>
      <c r="H11" s="29">
        <f>'Final Data'!B11*Wedges!C11</f>
        <v>22923.8510103687</v>
      </c>
      <c r="I11" s="29">
        <f>'Worked Hours'!O9</f>
        <v>0.2061243109671132</v>
      </c>
      <c r="J11" s="29">
        <f>Calibration!$B$3*'Final Data'!B11</f>
        <v>60994.629729108288</v>
      </c>
      <c r="K11" s="29">
        <f t="shared" si="0"/>
        <v>2.6607497013272234</v>
      </c>
    </row>
    <row r="12" spans="1:12" x14ac:dyDescent="0.25">
      <c r="A12" s="29">
        <v>2003</v>
      </c>
      <c r="B12" s="29">
        <f t="shared" si="1"/>
        <v>8</v>
      </c>
      <c r="C12" s="29">
        <f>1/(Calibration!$F$3)^Wedges!B12</f>
        <v>0.95103666657187202</v>
      </c>
      <c r="D12" s="29">
        <f>1/(Calibration!$G$3)^Wedges!B12</f>
        <v>0.86566848718597222</v>
      </c>
      <c r="E12" s="29">
        <f>'Final Data'!C12*Wedges!C12</f>
        <v>17530.39137767204</v>
      </c>
      <c r="F12" s="29">
        <f>'Final Data'!E12*Wedges!C12</f>
        <v>3688.0193150680643</v>
      </c>
      <c r="G12" s="29">
        <f>'Final Data'!F12*Wedges!C12</f>
        <v>15.83566249712503</v>
      </c>
      <c r="H12" s="29">
        <f>'Final Data'!B12*Wedges!C12</f>
        <v>22615.694515505314</v>
      </c>
      <c r="I12" s="29">
        <f>'Worked Hours'!O10</f>
        <v>0.20475439506449866</v>
      </c>
      <c r="J12" s="29">
        <f>Calibration!$B$3*'Final Data'!B12</f>
        <v>60553.506019770932</v>
      </c>
      <c r="K12" s="29">
        <f t="shared" si="0"/>
        <v>2.6774992905150654</v>
      </c>
    </row>
    <row r="13" spans="1:12" x14ac:dyDescent="0.25">
      <c r="A13" s="29">
        <v>2004</v>
      </c>
      <c r="B13" s="29">
        <f t="shared" si="1"/>
        <v>9</v>
      </c>
      <c r="C13" s="29">
        <f>1/(Calibration!$F$3)^Wedges!B13</f>
        <v>0.94508728181420565</v>
      </c>
      <c r="D13" s="29">
        <f>1/(Calibration!$G$3)^Wedges!B13</f>
        <v>0.85019894020341513</v>
      </c>
      <c r="E13" s="29">
        <f>'Final Data'!C13*Wedges!C13</f>
        <v>17781.673575803354</v>
      </c>
      <c r="F13" s="29">
        <f>'Final Data'!E13*Wedges!C13</f>
        <v>3905.5731689125964</v>
      </c>
      <c r="G13" s="29">
        <f>'Final Data'!F13*Wedges!C13</f>
        <v>15.465609612179241</v>
      </c>
      <c r="H13" s="29">
        <f>'Final Data'!B13*Wedges!C13</f>
        <v>23347.762371480509</v>
      </c>
      <c r="I13" s="29">
        <f>'Worked Hours'!O11</f>
        <v>0.20895851446049538</v>
      </c>
      <c r="J13" s="29">
        <f>Calibration!$B$3*'Final Data'!B13</f>
        <v>62907.144394760537</v>
      </c>
      <c r="K13" s="29">
        <f t="shared" si="0"/>
        <v>2.6943543194358597</v>
      </c>
    </row>
    <row r="14" spans="1:12" x14ac:dyDescent="0.25">
      <c r="A14" s="29">
        <v>2005</v>
      </c>
      <c r="B14" s="29">
        <f t="shared" si="1"/>
        <v>10</v>
      </c>
      <c r="C14" s="29">
        <f>1/(Calibration!$F$3)^Wedges!B14</f>
        <v>0.93917511452694702</v>
      </c>
      <c r="D14" s="29">
        <f>1/(Calibration!$G$3)^Wedges!B14</f>
        <v>0.83500583493889191</v>
      </c>
      <c r="E14" s="29">
        <f>'Final Data'!C14*Wedges!C14</f>
        <v>18040.597375667228</v>
      </c>
      <c r="F14" s="29">
        <f>'Final Data'!E14*Wedges!C14</f>
        <v>3889.9655437549213</v>
      </c>
      <c r="G14" s="29">
        <f>'Final Data'!F14*Wedges!C14</f>
        <v>15.115781479463948</v>
      </c>
      <c r="H14" s="29">
        <f>'Final Data'!B14*Wedges!C14</f>
        <v>23538.611217603273</v>
      </c>
      <c r="I14" s="29">
        <f>'Worked Hours'!O12</f>
        <v>0.20987412913569384</v>
      </c>
      <c r="J14" s="29">
        <f>Calibration!$B$3*'Final Data'!B14</f>
        <v>63820.600309129251</v>
      </c>
      <c r="K14" s="29">
        <f t="shared" si="0"/>
        <v>2.7113154518394538</v>
      </c>
    </row>
    <row r="15" spans="1:12" x14ac:dyDescent="0.25">
      <c r="A15" s="29">
        <v>2006</v>
      </c>
      <c r="B15" s="29">
        <f t="shared" si="1"/>
        <v>11</v>
      </c>
      <c r="C15" s="29">
        <f>1/(Calibration!$F$3)^Wedges!B15</f>
        <v>0.93329993188936589</v>
      </c>
      <c r="D15" s="29">
        <f>1/(Calibration!$G$3)^Wedges!B15</f>
        <v>0.8200842313625778</v>
      </c>
      <c r="E15" s="29">
        <f>'Final Data'!C15*Wedges!C15</f>
        <v>18487.222845154836</v>
      </c>
      <c r="F15" s="29">
        <f>'Final Data'!E15*Wedges!C15</f>
        <v>4054.1633816075437</v>
      </c>
      <c r="G15" s="29">
        <f>'Final Data'!F15*Wedges!C15</f>
        <v>14.777394233852695</v>
      </c>
      <c r="H15" s="29">
        <f>'Final Data'!B15*Wedges!C15</f>
        <v>23911.461270951157</v>
      </c>
      <c r="I15" s="29">
        <f>'Worked Hours'!O13</f>
        <v>0.21074431102190699</v>
      </c>
      <c r="J15" s="29">
        <f>Calibration!$B$3*'Final Data'!B15</f>
        <v>65239.632941029471</v>
      </c>
      <c r="K15" s="29">
        <f t="shared" si="0"/>
        <v>2.7283833556540458</v>
      </c>
    </row>
    <row r="16" spans="1:12" x14ac:dyDescent="0.25">
      <c r="A16" s="29">
        <v>2007</v>
      </c>
      <c r="B16" s="29">
        <f t="shared" si="1"/>
        <v>12</v>
      </c>
      <c r="C16" s="29">
        <f>1/(Calibration!$F$3)^Wedges!B16</f>
        <v>0.92746150253718485</v>
      </c>
      <c r="D16" s="29">
        <f>1/(Calibration!$G$3)^Wedges!B16</f>
        <v>0.80542927772327289</v>
      </c>
      <c r="E16" s="29">
        <f>'Final Data'!C16*Wedges!C16</f>
        <v>19135.672885042008</v>
      </c>
      <c r="F16" s="29">
        <f>'Final Data'!E16*Wedges!C16</f>
        <v>4439.3997706903856</v>
      </c>
      <c r="G16" s="29">
        <f>'Final Data'!F16*Wedges!C16</f>
        <v>14.461184704813775</v>
      </c>
      <c r="H16" s="29">
        <f>'Final Data'!B16*Wedges!C16</f>
        <v>24807.769965683645</v>
      </c>
      <c r="I16" s="29">
        <f>'Worked Hours'!O14</f>
        <v>0.21048569873507519</v>
      </c>
      <c r="J16" s="29">
        <f>Calibration!$B$3*'Final Data'!B16</f>
        <v>68111.188731614369</v>
      </c>
      <c r="K16" s="29">
        <f t="shared" si="0"/>
        <v>2.7455587030124811</v>
      </c>
    </row>
    <row r="17" spans="1:11" x14ac:dyDescent="0.25">
      <c r="A17" s="29">
        <v>2008</v>
      </c>
      <c r="B17" s="29">
        <f t="shared" si="1"/>
        <v>13</v>
      </c>
      <c r="C17" s="29">
        <f>1/(Calibration!$F$3)^Wedges!B17</f>
        <v>0.9216595965534683</v>
      </c>
      <c r="D17" s="29">
        <f>1/(Calibration!$G$3)^Wedges!B17</f>
        <v>0.79103620897085758</v>
      </c>
      <c r="E17" s="29">
        <f>'Final Data'!C17*Wedges!C17</f>
        <v>19742.667992453851</v>
      </c>
      <c r="F17" s="29">
        <f>'Final Data'!E17*Wedges!C17</f>
        <v>4879.3973346696121</v>
      </c>
      <c r="G17" s="29">
        <f>'Final Data'!F17*Wedges!C17</f>
        <v>14.162268452468346</v>
      </c>
      <c r="H17" s="29">
        <f>'Final Data'!B17*Wedges!C17</f>
        <v>25519.905931192261</v>
      </c>
      <c r="I17" s="29">
        <f>'Worked Hours'!O15</f>
        <v>0.21272230374493778</v>
      </c>
      <c r="J17" s="29">
        <f>Calibration!$B$3*'Final Data'!B17</f>
        <v>70507.472288244186</v>
      </c>
      <c r="K17" s="29">
        <f t="shared" si="0"/>
        <v>2.7628421702787271</v>
      </c>
    </row>
    <row r="18" spans="1:11" x14ac:dyDescent="0.25">
      <c r="A18" s="29">
        <v>2009</v>
      </c>
      <c r="B18" s="29">
        <f t="shared" si="1"/>
        <v>14</v>
      </c>
      <c r="C18" s="29">
        <f>1/(Calibration!$F$3)^Wedges!B18</f>
        <v>0.91589398545956868</v>
      </c>
      <c r="D18" s="29">
        <f>1/(Calibration!$G$3)^Wedges!B18</f>
        <v>0.77690034520693863</v>
      </c>
      <c r="E18" s="29">
        <f>'Final Data'!C18*Wedges!C18</f>
        <v>20124.26320452879</v>
      </c>
      <c r="F18" s="29">
        <f>'Final Data'!E18*Wedges!C18</f>
        <v>4676.1331818699855</v>
      </c>
      <c r="G18" s="29">
        <f>'Final Data'!F18*Wedges!C18</f>
        <v>13.875139055681595</v>
      </c>
      <c r="H18" s="29">
        <f>'Final Data'!B18*Wedges!C18</f>
        <v>24958.623181706989</v>
      </c>
      <c r="I18" s="29">
        <f>'Worked Hours'!O16</f>
        <v>0.2107128493487834</v>
      </c>
      <c r="J18" s="29">
        <f>Calibration!$B$3*'Final Data'!B18</f>
        <v>69390.823696706371</v>
      </c>
      <c r="K18" s="29">
        <f t="shared" si="0"/>
        <v>2.7802344380745021</v>
      </c>
    </row>
    <row r="19" spans="1:11" x14ac:dyDescent="0.25">
      <c r="A19" s="29">
        <v>2010</v>
      </c>
      <c r="B19" s="29">
        <f t="shared" si="1"/>
        <v>15</v>
      </c>
      <c r="C19" s="29">
        <f>1/(Calibration!$F$3)^Wedges!B19</f>
        <v>0.91016444220612847</v>
      </c>
      <c r="D19" s="29">
        <f>1/(Calibration!$G$3)^Wedges!B19</f>
        <v>0.76301709016318453</v>
      </c>
      <c r="E19" s="29">
        <f>'Final Data'!C19*Wedges!C19</f>
        <v>20830.754704480525</v>
      </c>
      <c r="F19" s="29">
        <f>'Final Data'!E19*Wedges!C19</f>
        <v>5398.2135209558728</v>
      </c>
      <c r="G19" s="29">
        <f>'Final Data'!F19*Wedges!C19</f>
        <v>13.597924141635279</v>
      </c>
      <c r="H19" s="29">
        <f>'Final Data'!B19*Wedges!C19</f>
        <v>26288.284941294038</v>
      </c>
      <c r="I19" s="29">
        <f>'Worked Hours'!O17</f>
        <v>0.2089305588975548</v>
      </c>
      <c r="J19" s="29">
        <f>Calibration!$B$3*'Final Data'!B19</f>
        <v>73547.686187625062</v>
      </c>
      <c r="K19" s="29">
        <f t="shared" si="0"/>
        <v>2.7977361913060839</v>
      </c>
    </row>
    <row r="20" spans="1:11" x14ac:dyDescent="0.25">
      <c r="A20" s="29">
        <v>2011</v>
      </c>
      <c r="B20" s="29">
        <f t="shared" si="1"/>
        <v>16</v>
      </c>
      <c r="C20" s="29">
        <f>1/(Calibration!$F$3)^Wedges!B20</f>
        <v>0.90447074116413817</v>
      </c>
      <c r="D20" s="29">
        <f>1/(Calibration!$G$3)^Wedges!B20</f>
        <v>0.74938192970684969</v>
      </c>
      <c r="E20" s="29">
        <f>'Final Data'!C20*Wedges!C20</f>
        <v>21274.118808572402</v>
      </c>
      <c r="F20" s="29">
        <f>'Final Data'!E20*Wedges!C20</f>
        <v>5652.9580471725685</v>
      </c>
      <c r="G20" s="29">
        <f>'Final Data'!F20*Wedges!C20</f>
        <v>13.335357197328301</v>
      </c>
      <c r="H20" s="29">
        <f>'Final Data'!B20*Wedges!C20</f>
        <v>26791.979276341106</v>
      </c>
      <c r="I20" s="29">
        <f>'Worked Hours'!O18</f>
        <v>0.20703992564231163</v>
      </c>
      <c r="J20" s="29">
        <f>Calibration!$B$3*'Final Data'!B20</f>
        <v>75428.748465058699</v>
      </c>
      <c r="K20" s="29">
        <f t="shared" si="0"/>
        <v>2.8153481191912806</v>
      </c>
    </row>
    <row r="21" spans="1:11" x14ac:dyDescent="0.25">
      <c r="A21" s="29">
        <v>2012</v>
      </c>
      <c r="B21" s="29">
        <f t="shared" si="1"/>
        <v>17</v>
      </c>
      <c r="C21" s="29">
        <f>1/(Calibration!$F$3)^Wedges!B21</f>
        <v>0.89881265811605371</v>
      </c>
      <c r="D21" s="29">
        <f>1/(Calibration!$G$3)^Wedges!B21</f>
        <v>0.73599043037300715</v>
      </c>
      <c r="E21" s="29">
        <f>'Final Data'!C21*Wedges!C21</f>
        <v>21534.201401856215</v>
      </c>
      <c r="F21" s="29">
        <f>'Final Data'!E21*Wedges!C21</f>
        <v>5587.2585163692547</v>
      </c>
      <c r="G21" s="29">
        <f>'Final Data'!F21*Wedges!C21</f>
        <v>13.085022656866766</v>
      </c>
      <c r="H21" s="29">
        <f>'Final Data'!B21*Wedges!C21</f>
        <v>26780.775242219082</v>
      </c>
      <c r="I21" s="29">
        <f>'Worked Hours'!O19</f>
        <v>0.20871039384177742</v>
      </c>
      <c r="J21" s="29">
        <f>Calibration!$B$3*'Final Data'!B21</f>
        <v>75871.835427557438</v>
      </c>
      <c r="K21" s="29">
        <f t="shared" si="0"/>
        <v>2.8330709152865667</v>
      </c>
    </row>
    <row r="22" spans="1:11" x14ac:dyDescent="0.25">
      <c r="A22" s="29">
        <v>2013</v>
      </c>
      <c r="B22" s="29">
        <f t="shared" si="1"/>
        <v>18</v>
      </c>
      <c r="C22" s="29">
        <f>1/(Calibration!$F$3)^Wedges!B22</f>
        <v>0.89318997024696389</v>
      </c>
      <c r="D22" s="29">
        <f>1/(Calibration!$G$3)^Wedges!B22</f>
        <v>0.72283823792301016</v>
      </c>
      <c r="E22" s="29">
        <f>'Final Data'!C22*Wedges!C22</f>
        <v>21769.258417618446</v>
      </c>
      <c r="F22" s="29">
        <f>'Final Data'!E22*Wedges!C22</f>
        <v>5802.3523233729484</v>
      </c>
      <c r="G22" s="29">
        <f>'Final Data'!F22*Wedges!C22</f>
        <v>12.846898627083242</v>
      </c>
      <c r="H22" s="29">
        <f>'Final Data'!B22*Wedges!C22</f>
        <v>27070.029134772099</v>
      </c>
      <c r="I22" s="29">
        <f>'Worked Hours'!O20</f>
        <v>0.20878028941473792</v>
      </c>
      <c r="J22" s="29">
        <f>Calibration!$B$3*'Final Data'!B22</f>
        <v>77174.088922790368</v>
      </c>
      <c r="K22" s="29">
        <f t="shared" si="0"/>
        <v>2.8509052775144008</v>
      </c>
    </row>
    <row r="23" spans="1:11" x14ac:dyDescent="0.25">
      <c r="A23" s="29">
        <v>2014</v>
      </c>
      <c r="B23" s="29">
        <f t="shared" si="1"/>
        <v>19</v>
      </c>
      <c r="C23" s="29">
        <f>1/(Calibration!$F$3)^Wedges!B23</f>
        <v>0.8876024561358179</v>
      </c>
      <c r="D23" s="29">
        <f>1/(Calibration!$G$3)^Wedges!B23</f>
        <v>0.70992107592871356</v>
      </c>
      <c r="E23" s="29">
        <f>'Final Data'!C23*Wedges!C23</f>
        <v>21786.608275919192</v>
      </c>
      <c r="F23" s="29">
        <f>'Final Data'!E23*Wedges!C23</f>
        <v>5457.2631384692786</v>
      </c>
      <c r="G23" s="29">
        <f>'Final Data'!F23*Wedges!C23</f>
        <v>12.622006625332537</v>
      </c>
      <c r="H23" s="29">
        <f>'Final Data'!B23*Wedges!C23</f>
        <v>26716.914092015901</v>
      </c>
      <c r="I23" s="29">
        <f>'Worked Hours'!O21</f>
        <v>0.20857758825378767</v>
      </c>
      <c r="J23" s="29">
        <f>Calibration!$B$3*'Final Data'!B23</f>
        <v>76646.869973847031</v>
      </c>
      <c r="K23" s="29">
        <f t="shared" si="0"/>
        <v>2.8688519081907078</v>
      </c>
    </row>
    <row r="24" spans="1:11" x14ac:dyDescent="0.25">
      <c r="A24" s="29">
        <v>2015</v>
      </c>
      <c r="B24" s="29">
        <f t="shared" si="1"/>
        <v>20</v>
      </c>
      <c r="C24" s="29">
        <f>1/(Calibration!$F$3)^Wedges!B24</f>
        <v>0.88204989574670412</v>
      </c>
      <c r="D24" s="29">
        <f>1/(Calibration!$G$3)^Wedges!B24</f>
        <v>0.69723474438199595</v>
      </c>
      <c r="E24" s="29">
        <f>'Final Data'!C24*Wedges!C24</f>
        <v>20812.252049405692</v>
      </c>
      <c r="F24" s="29">
        <f>'Final Data'!E24*Wedges!C24</f>
        <v>4615.4332891227295</v>
      </c>
      <c r="G24" s="29">
        <f>'Final Data'!F24*Wedges!C24</f>
        <v>12.411178829162292</v>
      </c>
      <c r="H24" s="29">
        <f>'Final Data'!B24*Wedges!C24</f>
        <v>25326.585772312748</v>
      </c>
      <c r="I24" s="29">
        <f>'Worked Hours'!O22</f>
        <v>0.20510736570826579</v>
      </c>
      <c r="J24" s="29">
        <f>Calibration!$B$3*'Final Data'!B24</f>
        <v>73115.612077728845</v>
      </c>
      <c r="K24" s="29">
        <f t="shared" si="0"/>
        <v>2.8869115140525374</v>
      </c>
    </row>
    <row r="25" spans="1:11" x14ac:dyDescent="0.25">
      <c r="A25" s="29">
        <v>2016</v>
      </c>
      <c r="B25" s="29">
        <f t="shared" si="1"/>
        <v>21</v>
      </c>
      <c r="C25" s="29">
        <f>1/(Calibration!$F$3)^Wedges!B25</f>
        <v>0.87653207042018699</v>
      </c>
      <c r="D25" s="29">
        <f>1/(Calibration!$G$3)^Wedges!B25</f>
        <v>0.68477511832912885</v>
      </c>
      <c r="E25" s="29">
        <f>'Final Data'!C25*Wedges!C25</f>
        <v>19890.475448604571</v>
      </c>
      <c r="F25" s="29">
        <f>'Final Data'!E25*Wedges!C25</f>
        <v>3992.4023974517904</v>
      </c>
      <c r="G25" s="29">
        <f>'Final Data'!F25*Wedges!C25</f>
        <v>12.223873754119596</v>
      </c>
      <c r="H25" s="29">
        <f>'Final Data'!B25*Wedges!C25</f>
        <v>24107.877163149908</v>
      </c>
      <c r="I25" s="29">
        <f>'Worked Hours'!O23</f>
        <v>0.1971848764855948</v>
      </c>
      <c r="J25" s="29">
        <f>Calibration!$B$3*'Final Data'!B25</f>
        <v>70035.427658473403</v>
      </c>
      <c r="K25" s="29">
        <f t="shared" si="0"/>
        <v>2.9050848062858909</v>
      </c>
    </row>
    <row r="26" spans="1:11" x14ac:dyDescent="0.25">
      <c r="A26" s="29">
        <v>2017</v>
      </c>
      <c r="B26" s="29">
        <f t="shared" si="1"/>
        <v>22</v>
      </c>
      <c r="C26" s="29">
        <f>1/(Calibration!$F$3)^Wedges!B26</f>
        <v>0.8710487628646949</v>
      </c>
      <c r="D26" s="29">
        <f>1/(Calibration!$G$3)^Wedges!B26</f>
        <v>0.67253814652955013</v>
      </c>
      <c r="E26" s="29">
        <f>'Final Data'!C26*Wedges!C26</f>
        <v>19748.900185965664</v>
      </c>
      <c r="F26" s="29">
        <f>'Final Data'!E26*Wedges!C26</f>
        <v>3833.6221834752237</v>
      </c>
      <c r="G26" s="29">
        <f>'Final Data'!F26*Wedges!C26</f>
        <v>12.043915418271963</v>
      </c>
      <c r="H26" s="29">
        <f>'Final Data'!B26*Wedges!C26</f>
        <v>23993.760935217382</v>
      </c>
      <c r="I26" s="29">
        <f>'Worked Hours'!O24</f>
        <v>0.19527676600430696</v>
      </c>
      <c r="J26" s="29">
        <f>Calibration!$B$3*'Final Data'!B26</f>
        <v>70142.70090287496</v>
      </c>
      <c r="K26" s="29">
        <f t="shared" si="0"/>
        <v>2.923372500553735</v>
      </c>
    </row>
    <row r="27" spans="1:11" x14ac:dyDescent="0.25">
      <c r="A27" s="29">
        <v>2018</v>
      </c>
      <c r="B27" s="29">
        <f t="shared" si="1"/>
        <v>23</v>
      </c>
      <c r="C27" s="29">
        <f>1/(Calibration!$F$3)^Wedges!B27</f>
        <v>0.86559975714796367</v>
      </c>
      <c r="D27" s="29">
        <f>1/(Calibration!$G$3)^Wedges!B27</f>
        <v>0.66051985013860648</v>
      </c>
      <c r="E27" s="29">
        <f>'Final Data'!C27*Wedges!C27</f>
        <v>0</v>
      </c>
      <c r="F27" s="29">
        <f>'Final Data'!E27*Wedges!C27</f>
        <v>0</v>
      </c>
      <c r="G27" s="29">
        <f>'Final Data'!F27*Wedges!C27</f>
        <v>0</v>
      </c>
      <c r="H27" s="29">
        <f>'Final Data'!B27*Wedges!C27</f>
        <v>0</v>
      </c>
      <c r="I27" s="29">
        <f>'Worked Hours'!O25</f>
        <v>0.19543752715523766</v>
      </c>
      <c r="J27" s="29">
        <f>Calibration!$B$3*'Final Data'!B27</f>
        <v>0</v>
      </c>
      <c r="K27" s="29" t="e">
        <f t="shared" si="0"/>
        <v>#DIV/0!</v>
      </c>
    </row>
    <row r="29" spans="1:11" x14ac:dyDescent="0.25">
      <c r="C29" t="s">
        <v>53</v>
      </c>
    </row>
    <row r="30" spans="1:11" x14ac:dyDescent="0.25">
      <c r="C30" t="s">
        <v>50</v>
      </c>
      <c r="D30" t="s">
        <v>36</v>
      </c>
      <c r="E30" t="s">
        <v>51</v>
      </c>
      <c r="F30" t="s">
        <v>34</v>
      </c>
      <c r="G30" t="s">
        <v>31</v>
      </c>
      <c r="H30" t="s">
        <v>37</v>
      </c>
    </row>
    <row r="31" spans="1:11" x14ac:dyDescent="0.25">
      <c r="B31" s="29">
        <v>1995</v>
      </c>
      <c r="C31">
        <f>E4</f>
        <v>19489.680488380189</v>
      </c>
      <c r="D31" s="29">
        <f>F4</f>
        <v>4585.0015973984382</v>
      </c>
      <c r="E31" s="29">
        <f t="shared" ref="E31:H46" si="2">G4</f>
        <v>19.665343174285066</v>
      </c>
      <c r="F31" s="29">
        <f t="shared" si="2"/>
        <v>23993.760935217408</v>
      </c>
      <c r="G31" s="29">
        <f t="shared" si="2"/>
        <v>0.20893405167652024</v>
      </c>
      <c r="H31" s="29">
        <f t="shared" si="2"/>
        <v>61097.712845437614</v>
      </c>
    </row>
    <row r="32" spans="1:11" x14ac:dyDescent="0.25">
      <c r="B32" s="29">
        <v>1996</v>
      </c>
      <c r="C32" s="29">
        <f t="shared" ref="C32:C53" si="3">E5</f>
        <v>19305.938801891276</v>
      </c>
      <c r="D32" s="29">
        <f t="shared" ref="D32:H53" si="4">F5</f>
        <v>4506.626325584698</v>
      </c>
      <c r="E32" s="29">
        <f t="shared" si="2"/>
        <v>19.110406857111684</v>
      </c>
      <c r="F32" s="29">
        <f t="shared" si="2"/>
        <v>23819.775045123763</v>
      </c>
      <c r="G32" s="29">
        <f t="shared" si="2"/>
        <v>0.20258768562759658</v>
      </c>
      <c r="H32" s="29">
        <f t="shared" si="2"/>
        <v>61036.500226314347</v>
      </c>
      <c r="J32">
        <f>(F32-F31)/F31*100</f>
        <v>-0.7251297141927977</v>
      </c>
    </row>
    <row r="33" spans="2:10" x14ac:dyDescent="0.25">
      <c r="B33" s="29">
        <v>1997</v>
      </c>
      <c r="C33" s="29">
        <f t="shared" si="3"/>
        <v>19236.121065844043</v>
      </c>
      <c r="D33" s="29">
        <f t="shared" si="4"/>
        <v>4744.1560927255505</v>
      </c>
      <c r="E33" s="29">
        <f t="shared" si="2"/>
        <v>18.564917853391425</v>
      </c>
      <c r="F33" s="29">
        <f t="shared" si="2"/>
        <v>23913.443428273946</v>
      </c>
      <c r="G33" s="29">
        <f t="shared" si="2"/>
        <v>0.20273795511041381</v>
      </c>
      <c r="H33" s="29">
        <f t="shared" si="2"/>
        <v>61662.258475191687</v>
      </c>
      <c r="J33" s="29">
        <f t="shared" ref="J33:J53" si="5">(F33-F32)/F32*100</f>
        <v>0.39323789990770053</v>
      </c>
    </row>
    <row r="34" spans="2:10" x14ac:dyDescent="0.25">
      <c r="B34" s="29">
        <v>1998</v>
      </c>
      <c r="C34" s="29">
        <f t="shared" si="3"/>
        <v>18713.950679007543</v>
      </c>
      <c r="D34" s="29">
        <f t="shared" si="4"/>
        <v>4599.1859795426726</v>
      </c>
      <c r="E34" s="29">
        <f t="shared" si="2"/>
        <v>18.036181120736064</v>
      </c>
      <c r="F34" s="29">
        <f t="shared" si="2"/>
        <v>23299.259472856465</v>
      </c>
      <c r="G34" s="29">
        <f t="shared" si="2"/>
        <v>0.20057473845247714</v>
      </c>
      <c r="H34" s="29">
        <f t="shared" si="2"/>
        <v>60456.746338048863</v>
      </c>
      <c r="J34" s="29">
        <f t="shared" si="5"/>
        <v>-2.5683626754117008</v>
      </c>
    </row>
    <row r="35" spans="2:10" x14ac:dyDescent="0.25">
      <c r="B35" s="29">
        <v>1999</v>
      </c>
      <c r="C35" s="29">
        <f t="shared" si="3"/>
        <v>18308.606538384538</v>
      </c>
      <c r="D35" s="29">
        <f t="shared" si="4"/>
        <v>4072.1011975755164</v>
      </c>
      <c r="E35" s="29">
        <f t="shared" si="2"/>
        <v>17.533288885103715</v>
      </c>
      <c r="F35" s="29">
        <f t="shared" si="2"/>
        <v>22744.222502986602</v>
      </c>
      <c r="G35" s="29">
        <f t="shared" si="2"/>
        <v>0.2006341423573238</v>
      </c>
      <c r="H35" s="29">
        <f t="shared" si="2"/>
        <v>59388.053398555654</v>
      </c>
      <c r="J35" s="29">
        <f t="shared" si="5"/>
        <v>-2.3822086299201009</v>
      </c>
    </row>
    <row r="36" spans="2:10" x14ac:dyDescent="0.25">
      <c r="B36" s="29">
        <v>2000</v>
      </c>
      <c r="C36" s="29">
        <f t="shared" si="3"/>
        <v>18349.06267465989</v>
      </c>
      <c r="D36" s="29">
        <f t="shared" si="4"/>
        <v>4150.8187766044675</v>
      </c>
      <c r="E36" s="29">
        <f t="shared" si="2"/>
        <v>17.060032523107694</v>
      </c>
      <c r="F36" s="29">
        <f t="shared" si="2"/>
        <v>23089.829533907414</v>
      </c>
      <c r="G36" s="29">
        <f t="shared" si="2"/>
        <v>0.20204250549099273</v>
      </c>
      <c r="H36" s="29">
        <f t="shared" si="2"/>
        <v>60670.009649485983</v>
      </c>
      <c r="J36" s="29">
        <f t="shared" si="5"/>
        <v>1.5195376798456359</v>
      </c>
    </row>
    <row r="37" spans="2:10" x14ac:dyDescent="0.25">
      <c r="B37" s="29">
        <v>2001</v>
      </c>
      <c r="C37" s="29">
        <f t="shared" si="3"/>
        <v>18095.909350048136</v>
      </c>
      <c r="D37" s="29">
        <f t="shared" si="4"/>
        <v>4098.3204160902578</v>
      </c>
      <c r="E37" s="29">
        <f t="shared" si="2"/>
        <v>16.635675956574964</v>
      </c>
      <c r="F37" s="29">
        <f t="shared" si="2"/>
        <v>22817.019336600442</v>
      </c>
      <c r="G37" s="29">
        <f t="shared" si="2"/>
        <v>0.20338447916188418</v>
      </c>
      <c r="H37" s="29">
        <f t="shared" si="2"/>
        <v>60330.592455031576</v>
      </c>
      <c r="J37" s="29">
        <f t="shared" si="5"/>
        <v>-1.1815167232237456</v>
      </c>
    </row>
    <row r="38" spans="2:10" x14ac:dyDescent="0.25">
      <c r="B38" s="29">
        <v>2002</v>
      </c>
      <c r="C38" s="29">
        <f t="shared" si="3"/>
        <v>17976.744948036307</v>
      </c>
      <c r="D38" s="29">
        <f t="shared" si="4"/>
        <v>3937.8217365576816</v>
      </c>
      <c r="E38" s="29">
        <f t="shared" si="2"/>
        <v>16.226450076238923</v>
      </c>
      <c r="F38" s="29">
        <f t="shared" si="2"/>
        <v>22923.8510103687</v>
      </c>
      <c r="G38" s="29">
        <f t="shared" si="2"/>
        <v>0.2061243109671132</v>
      </c>
      <c r="H38" s="29">
        <f t="shared" si="2"/>
        <v>60994.629729108288</v>
      </c>
      <c r="J38" s="29">
        <f t="shared" si="5"/>
        <v>0.46821047128136906</v>
      </c>
    </row>
    <row r="39" spans="2:10" x14ac:dyDescent="0.25">
      <c r="B39" s="29">
        <v>2003</v>
      </c>
      <c r="C39" s="29">
        <f t="shared" si="3"/>
        <v>17530.39137767204</v>
      </c>
      <c r="D39" s="29">
        <f t="shared" si="4"/>
        <v>3688.0193150680643</v>
      </c>
      <c r="E39" s="29">
        <f t="shared" si="2"/>
        <v>15.83566249712503</v>
      </c>
      <c r="F39" s="29">
        <f t="shared" si="2"/>
        <v>22615.694515505314</v>
      </c>
      <c r="G39" s="29">
        <f t="shared" si="2"/>
        <v>0.20475439506449866</v>
      </c>
      <c r="H39" s="29">
        <f t="shared" si="2"/>
        <v>60553.506019770932</v>
      </c>
      <c r="J39" s="29">
        <f t="shared" si="5"/>
        <v>-1.3442614625439828</v>
      </c>
    </row>
    <row r="40" spans="2:10" x14ac:dyDescent="0.25">
      <c r="B40" s="29">
        <v>2004</v>
      </c>
      <c r="C40" s="29">
        <f t="shared" si="3"/>
        <v>17781.673575803354</v>
      </c>
      <c r="D40" s="29">
        <f t="shared" si="4"/>
        <v>3905.5731689125964</v>
      </c>
      <c r="E40" s="29">
        <f t="shared" si="2"/>
        <v>15.465609612179241</v>
      </c>
      <c r="F40" s="29">
        <f t="shared" si="2"/>
        <v>23347.762371480509</v>
      </c>
      <c r="G40" s="29">
        <f t="shared" si="2"/>
        <v>0.20895851446049538</v>
      </c>
      <c r="H40" s="29">
        <f t="shared" si="2"/>
        <v>62907.144394760537</v>
      </c>
      <c r="J40" s="29">
        <f t="shared" si="5"/>
        <v>3.2369903806106355</v>
      </c>
    </row>
    <row r="41" spans="2:10" x14ac:dyDescent="0.25">
      <c r="B41" s="29">
        <v>2005</v>
      </c>
      <c r="C41" s="29">
        <f t="shared" si="3"/>
        <v>18040.597375667228</v>
      </c>
      <c r="D41" s="29">
        <f t="shared" si="4"/>
        <v>3889.9655437549213</v>
      </c>
      <c r="E41" s="29">
        <f t="shared" si="2"/>
        <v>15.115781479463948</v>
      </c>
      <c r="F41" s="29">
        <f t="shared" si="2"/>
        <v>23538.611217603273</v>
      </c>
      <c r="G41" s="29">
        <f t="shared" si="2"/>
        <v>0.20987412913569384</v>
      </c>
      <c r="H41" s="29">
        <f t="shared" si="2"/>
        <v>63820.600309129251</v>
      </c>
      <c r="J41" s="29">
        <f t="shared" si="5"/>
        <v>0.8174181452004492</v>
      </c>
    </row>
    <row r="42" spans="2:10" x14ac:dyDescent="0.25">
      <c r="B42" s="29">
        <v>2006</v>
      </c>
      <c r="C42" s="29">
        <f t="shared" si="3"/>
        <v>18487.222845154836</v>
      </c>
      <c r="D42" s="29">
        <f t="shared" si="4"/>
        <v>4054.1633816075437</v>
      </c>
      <c r="E42" s="29">
        <f t="shared" si="2"/>
        <v>14.777394233852695</v>
      </c>
      <c r="F42" s="29">
        <f t="shared" si="2"/>
        <v>23911.461270951157</v>
      </c>
      <c r="G42" s="29">
        <f t="shared" si="2"/>
        <v>0.21074431102190699</v>
      </c>
      <c r="H42" s="29">
        <f t="shared" si="2"/>
        <v>65239.632941029471</v>
      </c>
      <c r="J42" s="29">
        <f t="shared" si="5"/>
        <v>1.5839934221312468</v>
      </c>
    </row>
    <row r="43" spans="2:10" x14ac:dyDescent="0.25">
      <c r="B43" s="29">
        <v>2007</v>
      </c>
      <c r="C43" s="29">
        <f t="shared" si="3"/>
        <v>19135.672885042008</v>
      </c>
      <c r="D43" s="29">
        <f t="shared" si="4"/>
        <v>4439.3997706903856</v>
      </c>
      <c r="E43" s="29">
        <f t="shared" si="2"/>
        <v>14.461184704813775</v>
      </c>
      <c r="F43" s="29">
        <f t="shared" si="2"/>
        <v>24807.769965683645</v>
      </c>
      <c r="G43" s="29">
        <f t="shared" si="2"/>
        <v>0.21048569873507519</v>
      </c>
      <c r="H43" s="29">
        <f t="shared" si="2"/>
        <v>68111.188731614369</v>
      </c>
      <c r="J43" s="29">
        <f t="shared" si="5"/>
        <v>3.7484480123402957</v>
      </c>
    </row>
    <row r="44" spans="2:10" x14ac:dyDescent="0.25">
      <c r="B44" s="29">
        <v>2008</v>
      </c>
      <c r="C44" s="29">
        <f t="shared" si="3"/>
        <v>19742.667992453851</v>
      </c>
      <c r="D44" s="29">
        <f t="shared" si="4"/>
        <v>4879.3973346696121</v>
      </c>
      <c r="E44" s="29">
        <f t="shared" si="2"/>
        <v>14.162268452468346</v>
      </c>
      <c r="F44" s="29">
        <f t="shared" si="2"/>
        <v>25519.905931192261</v>
      </c>
      <c r="G44" s="29">
        <f t="shared" si="2"/>
        <v>0.21272230374493778</v>
      </c>
      <c r="H44" s="29">
        <f t="shared" si="2"/>
        <v>70507.472288244186</v>
      </c>
      <c r="J44" s="29">
        <f t="shared" si="5"/>
        <v>2.8706166112218359</v>
      </c>
    </row>
    <row r="45" spans="2:10" x14ac:dyDescent="0.25">
      <c r="B45" s="29">
        <v>2009</v>
      </c>
      <c r="C45" s="29">
        <f t="shared" si="3"/>
        <v>20124.26320452879</v>
      </c>
      <c r="D45" s="29">
        <f t="shared" si="4"/>
        <v>4676.1331818699855</v>
      </c>
      <c r="E45" s="29">
        <f t="shared" si="2"/>
        <v>13.875139055681595</v>
      </c>
      <c r="F45" s="29">
        <f t="shared" si="2"/>
        <v>24958.623181706989</v>
      </c>
      <c r="G45" s="29">
        <f t="shared" si="2"/>
        <v>0.2107128493487834</v>
      </c>
      <c r="H45" s="29">
        <f t="shared" si="2"/>
        <v>69390.823696706371</v>
      </c>
      <c r="J45" s="29">
        <f t="shared" si="5"/>
        <v>-2.1993919217360114</v>
      </c>
    </row>
    <row r="46" spans="2:10" x14ac:dyDescent="0.25">
      <c r="B46" s="29">
        <v>2010</v>
      </c>
      <c r="C46" s="29">
        <f t="shared" si="3"/>
        <v>20830.754704480525</v>
      </c>
      <c r="D46" s="29">
        <f t="shared" si="4"/>
        <v>5398.2135209558728</v>
      </c>
      <c r="E46" s="29">
        <f t="shared" si="2"/>
        <v>13.597924141635279</v>
      </c>
      <c r="F46" s="29">
        <f t="shared" si="2"/>
        <v>26288.284941294038</v>
      </c>
      <c r="G46" s="29">
        <f t="shared" si="2"/>
        <v>0.2089305588975548</v>
      </c>
      <c r="H46" s="29">
        <f t="shared" si="2"/>
        <v>73547.686187625062</v>
      </c>
      <c r="J46" s="29">
        <f t="shared" si="5"/>
        <v>5.3274643793717038</v>
      </c>
    </row>
    <row r="47" spans="2:10" x14ac:dyDescent="0.25">
      <c r="B47" s="29">
        <v>2011</v>
      </c>
      <c r="C47" s="29">
        <f t="shared" si="3"/>
        <v>21274.118808572402</v>
      </c>
      <c r="D47" s="29">
        <f t="shared" si="4"/>
        <v>5652.9580471725685</v>
      </c>
      <c r="E47" s="29">
        <f t="shared" si="4"/>
        <v>13.335357197328301</v>
      </c>
      <c r="F47" s="29">
        <f t="shared" si="4"/>
        <v>26791.979276341106</v>
      </c>
      <c r="G47" s="29">
        <f t="shared" si="4"/>
        <v>0.20703992564231163</v>
      </c>
      <c r="H47" s="29">
        <f t="shared" si="4"/>
        <v>75428.748465058699</v>
      </c>
      <c r="J47" s="29">
        <f t="shared" si="5"/>
        <v>1.9160410660942646</v>
      </c>
    </row>
    <row r="48" spans="2:10" x14ac:dyDescent="0.25">
      <c r="B48" s="29">
        <v>2012</v>
      </c>
      <c r="C48" s="29">
        <f t="shared" si="3"/>
        <v>21534.201401856215</v>
      </c>
      <c r="D48" s="29">
        <f t="shared" si="4"/>
        <v>5587.2585163692547</v>
      </c>
      <c r="E48" s="29">
        <f t="shared" si="4"/>
        <v>13.085022656866766</v>
      </c>
      <c r="F48" s="29">
        <f t="shared" si="4"/>
        <v>26780.775242219082</v>
      </c>
      <c r="G48" s="29">
        <f t="shared" si="4"/>
        <v>0.20871039384177742</v>
      </c>
      <c r="H48" s="29">
        <f t="shared" si="4"/>
        <v>75871.835427557438</v>
      </c>
      <c r="J48" s="29">
        <f t="shared" si="5"/>
        <v>-4.18186129754042E-2</v>
      </c>
    </row>
    <row r="49" spans="2:11" x14ac:dyDescent="0.25">
      <c r="B49" s="29">
        <v>2013</v>
      </c>
      <c r="C49" s="29">
        <f t="shared" si="3"/>
        <v>21769.258417618446</v>
      </c>
      <c r="D49" s="29">
        <f t="shared" si="4"/>
        <v>5802.3523233729484</v>
      </c>
      <c r="E49" s="29">
        <f t="shared" si="4"/>
        <v>12.846898627083242</v>
      </c>
      <c r="F49" s="29">
        <f t="shared" si="4"/>
        <v>27070.029134772099</v>
      </c>
      <c r="G49" s="29">
        <f t="shared" si="4"/>
        <v>0.20878028941473792</v>
      </c>
      <c r="H49" s="29">
        <f t="shared" si="4"/>
        <v>77174.088922790368</v>
      </c>
      <c r="J49" s="29">
        <f t="shared" si="5"/>
        <v>1.0800803559152277</v>
      </c>
    </row>
    <row r="50" spans="2:11" x14ac:dyDescent="0.25">
      <c r="B50" s="29">
        <v>2014</v>
      </c>
      <c r="C50" s="29">
        <f t="shared" si="3"/>
        <v>21786.608275919192</v>
      </c>
      <c r="D50" s="29">
        <f t="shared" si="4"/>
        <v>5457.2631384692786</v>
      </c>
      <c r="E50" s="29">
        <f t="shared" si="4"/>
        <v>12.622006625332537</v>
      </c>
      <c r="F50" s="29">
        <f t="shared" si="4"/>
        <v>26716.914092015901</v>
      </c>
      <c r="G50" s="29">
        <f t="shared" si="4"/>
        <v>0.20857758825378767</v>
      </c>
      <c r="H50" s="29">
        <f t="shared" si="4"/>
        <v>76646.869973847031</v>
      </c>
      <c r="J50" s="29">
        <f t="shared" si="5"/>
        <v>-1.304450176237949</v>
      </c>
    </row>
    <row r="51" spans="2:11" x14ac:dyDescent="0.25">
      <c r="B51" s="29">
        <v>2015</v>
      </c>
      <c r="C51" s="29">
        <f t="shared" si="3"/>
        <v>20812.252049405692</v>
      </c>
      <c r="D51" s="29">
        <f t="shared" si="4"/>
        <v>4615.4332891227295</v>
      </c>
      <c r="E51" s="29">
        <f t="shared" si="4"/>
        <v>12.411178829162292</v>
      </c>
      <c r="F51" s="29">
        <f t="shared" si="4"/>
        <v>25326.585772312748</v>
      </c>
      <c r="G51" s="29">
        <f t="shared" si="4"/>
        <v>0.20510736570826579</v>
      </c>
      <c r="H51" s="29">
        <f t="shared" si="4"/>
        <v>73115.612077728845</v>
      </c>
      <c r="J51" s="29">
        <f t="shared" si="5"/>
        <v>-5.2039255541067106</v>
      </c>
    </row>
    <row r="52" spans="2:11" x14ac:dyDescent="0.25">
      <c r="B52" s="29">
        <v>2016</v>
      </c>
      <c r="C52" s="29">
        <f t="shared" si="3"/>
        <v>19890.475448604571</v>
      </c>
      <c r="D52" s="29">
        <f t="shared" si="4"/>
        <v>3992.4023974517904</v>
      </c>
      <c r="E52" s="29">
        <f t="shared" si="4"/>
        <v>12.223873754119596</v>
      </c>
      <c r="F52" s="29">
        <f t="shared" si="4"/>
        <v>24107.877163149908</v>
      </c>
      <c r="G52" s="29">
        <f t="shared" si="4"/>
        <v>0.1971848764855948</v>
      </c>
      <c r="H52" s="29">
        <f t="shared" si="4"/>
        <v>70035.427658473403</v>
      </c>
      <c r="J52" s="29">
        <f t="shared" si="5"/>
        <v>-4.8119735526892224</v>
      </c>
    </row>
    <row r="53" spans="2:11" x14ac:dyDescent="0.25">
      <c r="B53" s="29">
        <v>2017</v>
      </c>
      <c r="C53" s="29">
        <f t="shared" si="3"/>
        <v>19748.900185965664</v>
      </c>
      <c r="D53" s="29">
        <f t="shared" si="4"/>
        <v>3833.6221834752237</v>
      </c>
      <c r="E53" s="29">
        <f t="shared" si="4"/>
        <v>12.043915418271963</v>
      </c>
      <c r="F53" s="29">
        <f t="shared" si="4"/>
        <v>23993.760935217382</v>
      </c>
      <c r="G53" s="29">
        <f t="shared" si="4"/>
        <v>0.19527676600430696</v>
      </c>
      <c r="H53" s="29">
        <f t="shared" si="4"/>
        <v>70142.70090287496</v>
      </c>
      <c r="J53" s="29">
        <f t="shared" si="5"/>
        <v>-0.47335660108206334</v>
      </c>
    </row>
    <row r="54" spans="2:11" x14ac:dyDescent="0.25"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6" spans="2:11" x14ac:dyDescent="0.25">
      <c r="C56" s="4" t="s">
        <v>63</v>
      </c>
      <c r="D56" s="4">
        <f>AVERAGE(D31:D53)</f>
        <v>4546.3559667409581</v>
      </c>
      <c r="E56" s="4">
        <f t="shared" ref="E56:H56" si="6">AVERAGE(E31:E53)</f>
        <v>15.160500597040615</v>
      </c>
      <c r="F56" s="4">
        <f t="shared" si="6"/>
        <v>24451.182446816525</v>
      </c>
      <c r="G56" s="4">
        <f t="shared" si="6"/>
        <v>0.20586434063495868</v>
      </c>
      <c r="H56" s="4">
        <f t="shared" si="6"/>
        <v>66875.210483234114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SCN</vt:lpstr>
      <vt:lpstr>Labor</vt:lpstr>
      <vt:lpstr>Worked Hours</vt:lpstr>
      <vt:lpstr>Planilha6</vt:lpstr>
      <vt:lpstr>Final Data</vt:lpstr>
      <vt:lpstr>Calibration</vt:lpstr>
      <vt:lpstr>Wedges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2019-05-30T16:37:47Z</dcterms:created>
  <dcterms:modified xsi:type="dcterms:W3CDTF">2020-02-03T21:16:17Z</dcterms:modified>
</cp:coreProperties>
</file>